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77" yWindow="557" windowWidth="15051" windowHeight="14409" activeTab="5"/>
  </bookViews>
  <sheets>
    <sheet name="1 Metodo e-NTU" sheetId="6" r:id="rId1"/>
    <sheet name="2 Metodo e-NTU" sheetId="2" r:id="rId2"/>
    <sheet name="3 Metodo e-NTU" sheetId="3" r:id="rId3"/>
    <sheet name="4 Metodo e-NTU" sheetId="7" r:id="rId4"/>
    <sheet name="5 Metodo e-NTU" sheetId="4" r:id="rId5"/>
    <sheet name="6 Metodo e-NTU" sheetId="8" r:id="rId6"/>
    <sheet name="Formule e NTU" sheetId="5" r:id="rId7"/>
    <sheet name="1b Metodo e-NTU" sheetId="1" r:id="rId8"/>
  </sheets>
  <calcPr calcId="125725"/>
</workbook>
</file>

<file path=xl/calcChain.xml><?xml version="1.0" encoding="utf-8"?>
<calcChain xmlns="http://schemas.openxmlformats.org/spreadsheetml/2006/main">
  <c r="B29" i="8"/>
  <c r="B35" s="1"/>
  <c r="B37" s="1"/>
  <c r="B40" s="1"/>
  <c r="B44" s="1"/>
  <c r="B47" s="1"/>
  <c r="B49" s="1"/>
  <c r="B21"/>
  <c r="B24" s="1"/>
  <c r="B25" i="6"/>
  <c r="B29"/>
  <c r="B18" i="7"/>
  <c r="B17"/>
  <c r="B35"/>
  <c r="B23"/>
  <c r="B16"/>
  <c r="B15"/>
  <c r="B28" i="6"/>
  <c r="B22"/>
  <c r="B19"/>
  <c r="B18"/>
  <c r="B17"/>
  <c r="B16"/>
  <c r="B15"/>
  <c r="B24" i="4"/>
  <c r="B25" s="1"/>
  <c r="B23"/>
  <c r="B26" s="1"/>
  <c r="B25" i="3"/>
  <c r="C25" s="1"/>
  <c r="B23"/>
  <c r="B34" s="1"/>
  <c r="B21"/>
  <c r="B19"/>
  <c r="B18"/>
  <c r="B17"/>
  <c r="B16"/>
  <c r="B15"/>
  <c r="B23" i="2"/>
  <c r="B17"/>
  <c r="B19" s="1"/>
  <c r="B16"/>
  <c r="B15"/>
  <c r="B18" s="1"/>
  <c r="B17" i="1"/>
  <c r="B16"/>
  <c r="B15"/>
  <c r="B18" s="1"/>
  <c r="B19" l="1"/>
  <c r="B30" i="6"/>
  <c r="B31"/>
  <c r="B21" i="7"/>
  <c r="B25" s="1"/>
  <c r="B19"/>
  <c r="B28" i="4"/>
  <c r="B30" s="1"/>
  <c r="B35" s="1"/>
  <c r="B34"/>
  <c r="B27"/>
  <c r="B28" i="1"/>
  <c r="B29" s="1"/>
  <c r="B22"/>
  <c r="B25" s="1"/>
  <c r="B30" i="2"/>
  <c r="B31" s="1"/>
  <c r="B27"/>
  <c r="B29" i="3"/>
  <c r="B32" s="1"/>
  <c r="B29" i="7" l="1"/>
  <c r="B33" s="1"/>
  <c r="C25"/>
  <c r="B40" i="4"/>
  <c r="B36"/>
  <c r="B37"/>
  <c r="B31" i="1"/>
  <c r="B30"/>
  <c r="B32" i="2"/>
  <c r="B33"/>
</calcChain>
</file>

<file path=xl/sharedStrings.xml><?xml version="1.0" encoding="utf-8"?>
<sst xmlns="http://schemas.openxmlformats.org/spreadsheetml/2006/main" count="356" uniqueCount="142">
  <si>
    <t>EX1 SCAMBIATORE CALORE Contro-Corrente metodo e-NTU</t>
  </si>
  <si>
    <t>Uno scambiatore di calore CC deve raffreddare una portata di olio tramite acqua</t>
  </si>
  <si>
    <t>Dati</t>
  </si>
  <si>
    <t>Valore</t>
  </si>
  <si>
    <t>Coefficiente globale di scambio (U)</t>
  </si>
  <si>
    <t>W/(m2 K)</t>
  </si>
  <si>
    <t>Area di scambio (A)</t>
  </si>
  <si>
    <t>m2</t>
  </si>
  <si>
    <t>Portata Olio (mh)</t>
  </si>
  <si>
    <t>kg/s</t>
  </si>
  <si>
    <t>Calore specifico Olio (ctc)</t>
  </si>
  <si>
    <t>J/(kg K)</t>
  </si>
  <si>
    <t>Temperatura Ingresso Olio (Tci)</t>
  </si>
  <si>
    <t>C</t>
  </si>
  <si>
    <t>Portata Acqua (mf)</t>
  </si>
  <si>
    <t>Calore specifico Acqua (ctf)</t>
  </si>
  <si>
    <t>Temperatura Ingresso Acqua (Tfi)</t>
  </si>
  <si>
    <t>CALCOLI</t>
  </si>
  <si>
    <t>Portata termica Olio  Cc</t>
  </si>
  <si>
    <t>W/K</t>
  </si>
  <si>
    <t>Portata termica Acqua Cf</t>
  </si>
  <si>
    <t>Cmin</t>
  </si>
  <si>
    <t>Cmax</t>
  </si>
  <si>
    <t>Cr=Cmin/Cmax</t>
  </si>
  <si>
    <t xml:space="preserve">Rapporto portate termiche </t>
  </si>
  <si>
    <t>Possiamo calcolare il valore di NTU dalla definizione</t>
  </si>
  <si>
    <t>NTU = U*A/Cmin</t>
  </si>
  <si>
    <t>Per scambiatori in controcorrente con Cr=1</t>
  </si>
  <si>
    <t>NTU= e / (1- e)</t>
  </si>
  <si>
    <t>Calore scambiato e temperature in uscita</t>
  </si>
  <si>
    <t>Calore massimo (Qmax)</t>
  </si>
  <si>
    <t>W</t>
  </si>
  <si>
    <t>Qmax= Cmin (Tci-Tfi)</t>
  </si>
  <si>
    <t>Calore reale (Qreale)</t>
  </si>
  <si>
    <t>Qreale= e * Q_max</t>
  </si>
  <si>
    <t>Temperatura uscita Acqua (Tfu)</t>
  </si>
  <si>
    <t>Tfu= Tfi+Qr/Cf</t>
  </si>
  <si>
    <t>Temperatura uscita Olio (Tcu)</t>
  </si>
  <si>
    <t>Tcu= Tci-Qr/Cc</t>
  </si>
  <si>
    <t>* Il valore di NTU si può ricavare anche dai diagrammi degli scambiatori</t>
  </si>
  <si>
    <t>EX2 SCAMBIATORE CALORE Contro-Corrente metodo e-NTU</t>
  </si>
  <si>
    <t>Efficienza e</t>
  </si>
  <si>
    <t>80%%</t>
  </si>
  <si>
    <t>Portata Olio (mc)</t>
  </si>
  <si>
    <t>Nota l'efficienza richiesta si ricava NTU</t>
  </si>
  <si>
    <t>Calcolo area di scambio A</t>
  </si>
  <si>
    <t>Dalla definizione di NUT = U A / Cmin  si ricava area di scambio</t>
  </si>
  <si>
    <t>Area di scambio A</t>
  </si>
  <si>
    <t xml:space="preserve">A = NUT Cmin /U </t>
  </si>
  <si>
    <t>Calore reale ceduto dall'olio</t>
  </si>
  <si>
    <t>Qr = mc ctc (Tci-Tcu)</t>
  </si>
  <si>
    <t>L'efficienza dello scambiatore vale</t>
  </si>
  <si>
    <t>e = Qr/Qmax</t>
  </si>
  <si>
    <t xml:space="preserve">In una caldaia a recupero (HRSG - Heat Recovery Steam Generator), </t>
  </si>
  <si>
    <t>l'economizzatore è lo scambiatore in controcorrente che preriscalda l'acqua prima che entri nell'evaporatore.</t>
  </si>
  <si>
    <t>Nota: in una caldaia reale, bisogna verificare che questa temperatura sia inferiore alla</t>
  </si>
  <si>
    <t>temperatura di saturazione per evitare l'ebollizione nell'economizzatore</t>
  </si>
  <si>
    <t>DATI FLUIDO CALDO (GAS DI SCARICO TURBINA A GAS)</t>
  </si>
  <si>
    <t>Portata massica (mc)</t>
  </si>
  <si>
    <t>Temperatura Ingresso (Tci)</t>
  </si>
  <si>
    <t>DATI FLUIDO FREDDO (ACQUA)</t>
  </si>
  <si>
    <t>Portata massica (mf)</t>
  </si>
  <si>
    <t>Temperatura Ingresso (Tfi)</t>
  </si>
  <si>
    <t>DATI SCAMBIATORE IN CC</t>
  </si>
  <si>
    <t>Coefficiente globale (U)</t>
  </si>
  <si>
    <t>Portata termica Gas (Cc)</t>
  </si>
  <si>
    <t>Portata termica Acqua (Cf)</t>
  </si>
  <si>
    <t>Cmin (Acqua)</t>
  </si>
  <si>
    <t>Cmax (Gas)</t>
  </si>
  <si>
    <t>Cr=Rapporto portate termiche</t>
  </si>
  <si>
    <t>NTU (U*A/Cmin)</t>
  </si>
  <si>
    <t>Dal diagramma e</t>
  </si>
  <si>
    <t>Potenza scambiata</t>
  </si>
  <si>
    <t>Potenza Reale (Qreale)</t>
  </si>
  <si>
    <t>Temperatura uscita Acqua (Tcu)</t>
  </si>
  <si>
    <t>Temperatura uscita Gas (Tfu)</t>
  </si>
  <si>
    <t>Dai gas di scarico si ricavano</t>
  </si>
  <si>
    <t>Relazioni e - NTU</t>
  </si>
  <si>
    <t>NTU</t>
  </si>
  <si>
    <t>Per scambiatori in controcorrente con Cr&lt;1 si usa la formula indicata</t>
  </si>
  <si>
    <t>Il diagramma conferma il calcolo</t>
  </si>
  <si>
    <t>Efficienza scambiatore e</t>
  </si>
  <si>
    <t>e = NTU / (1 + NTU)</t>
  </si>
  <si>
    <t>MW termici</t>
  </si>
  <si>
    <t>Cmin (olio)</t>
  </si>
  <si>
    <t>Cmax (acqua)</t>
  </si>
  <si>
    <t>Cmin  (acqua)</t>
  </si>
  <si>
    <t>Cmax (olio)</t>
  </si>
  <si>
    <t>Calore specifico (ctc) gas turbina</t>
  </si>
  <si>
    <t>Calore specifico (ctf) H2O</t>
  </si>
  <si>
    <t>Essendo il Cr&lt;1 si deve utilizzare la formula indicata o il diagramma</t>
  </si>
  <si>
    <t>Potenza Max (Qmax)</t>
  </si>
  <si>
    <t>EX5 ECONOMIZZATORE CALDAIA A RECUPERO metodo e-NTU</t>
  </si>
  <si>
    <t>EX4 SCAMBIATORE CALORE Contro-Corrente metodo e-NTU</t>
  </si>
  <si>
    <t>EX3 SCAMBIATORE CALORE Contro-Corrente metodo e-NTU</t>
  </si>
  <si>
    <t>mc vapore</t>
  </si>
  <si>
    <t>p vap. Saturo</t>
  </si>
  <si>
    <t>bar</t>
  </si>
  <si>
    <t>mf H2O</t>
  </si>
  <si>
    <t>Tfe H2O</t>
  </si>
  <si>
    <t>K</t>
  </si>
  <si>
    <t>U tot</t>
  </si>
  <si>
    <t>W/m2 K</t>
  </si>
  <si>
    <t>d tubi</t>
  </si>
  <si>
    <t>mm</t>
  </si>
  <si>
    <t>n° di tubi</t>
  </si>
  <si>
    <t>cpf H2O</t>
  </si>
  <si>
    <t>J/kgK</t>
  </si>
  <si>
    <t>Dalle tabelle vapore o diagramma di Mollier alla pressione assegnata si ricava</t>
  </si>
  <si>
    <t>Tce vap. Saturo</t>
  </si>
  <si>
    <t>hce vap. Saturo</t>
  </si>
  <si>
    <t>hcu liq. Saturo</t>
  </si>
  <si>
    <t>Per il vapore la potenza termica ceduta vale</t>
  </si>
  <si>
    <t>Per l’acqua</t>
  </si>
  <si>
    <t>Tfu</t>
  </si>
  <si>
    <t>Efficienza dello scambiatore</t>
  </si>
  <si>
    <t>Quando uno dei fluidi NON cambia di fase allora il Cmin è quello che cambia</t>
  </si>
  <si>
    <t>Cmin  H2O</t>
  </si>
  <si>
    <t>C=Cmin/Cmax</t>
  </si>
  <si>
    <t>Nel caso C=0 per qualsiasi tipo di scambiatore vale la relazione</t>
  </si>
  <si>
    <t xml:space="preserve">ε =1− exp(−NUT) </t>
  </si>
  <si>
    <t>La potenza massima scambiabile è:</t>
  </si>
  <si>
    <t>Qmax= Cmin (Tce-Tfe)</t>
  </si>
  <si>
    <t>L'efficienza vale quindi</t>
  </si>
  <si>
    <t>Nota efficienza si ricava il numero di unità di trasmissione</t>
  </si>
  <si>
    <t>NUT= UA/Cmin</t>
  </si>
  <si>
    <t>A= NTU Cmin/ U</t>
  </si>
  <si>
    <t>Ogni tubo avrà quindi una area di</t>
  </si>
  <si>
    <t>Atubo</t>
  </si>
  <si>
    <t>Noto il diametro di ricava la lunghezza</t>
  </si>
  <si>
    <t>lungh. Tubo</t>
  </si>
  <si>
    <t>m</t>
  </si>
  <si>
    <r>
      <t xml:space="preserve">Qc= m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h</t>
    </r>
  </si>
  <si>
    <r>
      <rPr>
        <sz val="10"/>
        <rFont val="Symbol"/>
        <family val="1"/>
        <charset val="2"/>
      </rPr>
      <t>e</t>
    </r>
    <r>
      <rPr>
        <sz val="10"/>
        <rFont val="Arial"/>
        <family val="2"/>
      </rPr>
      <t>= Q/Qmax</t>
    </r>
  </si>
  <si>
    <r>
      <t>NUT= -ln(1-</t>
    </r>
    <r>
      <rPr>
        <sz val="10"/>
        <rFont val="Symbol"/>
        <family val="1"/>
        <charset val="2"/>
      </rPr>
      <t>e</t>
    </r>
    <r>
      <rPr>
        <sz val="10"/>
        <rFont val="Arial"/>
        <family val="2"/>
      </rPr>
      <t>)</t>
    </r>
  </si>
  <si>
    <t>Uno scambiatore di calore a tubi e mantello che condensa vapore saturo in uscita a Ciclo Rankine</t>
  </si>
  <si>
    <t>DATI</t>
  </si>
  <si>
    <t>Qf= mf ctf (Tfu-Tfe)  da cui si ricava la Tfu</t>
  </si>
  <si>
    <t>poiché con cambio di fase si ha Cvap=infinito</t>
  </si>
  <si>
    <t>rapporto portate</t>
  </si>
  <si>
    <t xml:space="preserve">Noto NUT si può ricavare l’area di scambio termico A </t>
  </si>
  <si>
    <t xml:space="preserve">EX6 Condensatore ciclo Rankine Metodo ε-NUT 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</si>
</sst>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0.000"/>
  </numFmts>
  <fonts count="2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i/>
      <sz val="10"/>
      <color theme="1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theme="1"/>
      <name val="&quot;Calibri&quot;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i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0" fontId="2" fillId="2" borderId="0" xfId="0" applyFont="1" applyFill="1" applyAlignment="1"/>
    <xf numFmtId="0" fontId="5" fillId="0" borderId="0" xfId="0" applyFont="1" applyAlignment="1"/>
    <xf numFmtId="0" fontId="2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/>
    <xf numFmtId="164" fontId="2" fillId="2" borderId="0" xfId="0" applyNumberFormat="1" applyFont="1" applyFill="1" applyAlignment="1"/>
    <xf numFmtId="4" fontId="2" fillId="2" borderId="0" xfId="0" applyNumberFormat="1" applyFont="1" applyFill="1" applyAlignment="1"/>
    <xf numFmtId="0" fontId="5" fillId="2" borderId="0" xfId="0" applyFont="1" applyFill="1" applyAlignment="1"/>
    <xf numFmtId="166" fontId="2" fillId="2" borderId="0" xfId="0" applyNumberFormat="1" applyFont="1" applyFill="1"/>
    <xf numFmtId="0" fontId="7" fillId="2" borderId="0" xfId="0" applyFont="1" applyFill="1" applyAlignment="1"/>
    <xf numFmtId="2" fontId="2" fillId="2" borderId="0" xfId="0" applyNumberFormat="1" applyFont="1" applyFill="1"/>
    <xf numFmtId="1" fontId="2" fillId="2" borderId="0" xfId="0" applyNumberFormat="1" applyFont="1" applyFill="1" applyAlignment="1"/>
    <xf numFmtId="165" fontId="2" fillId="2" borderId="0" xfId="0" applyNumberFormat="1" applyFont="1" applyFill="1" applyAlignment="1"/>
    <xf numFmtId="0" fontId="2" fillId="0" borderId="0" xfId="0" applyFont="1"/>
    <xf numFmtId="2" fontId="2" fillId="0" borderId="0" xfId="0" applyNumberFormat="1" applyFont="1"/>
    <xf numFmtId="9" fontId="2" fillId="0" borderId="0" xfId="0" applyNumberFormat="1" applyFont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" fillId="3" borderId="0" xfId="0" applyFont="1" applyFill="1" applyAlignment="1"/>
    <xf numFmtId="0" fontId="5" fillId="3" borderId="0" xfId="0" applyFont="1" applyFill="1" applyAlignment="1"/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9" fillId="3" borderId="0" xfId="0" applyFont="1" applyFill="1" applyAlignment="1"/>
    <xf numFmtId="164" fontId="8" fillId="3" borderId="0" xfId="0" applyNumberFormat="1" applyFont="1" applyFill="1" applyAlignment="1">
      <alignment horizontal="right"/>
    </xf>
    <xf numFmtId="4" fontId="8" fillId="3" borderId="0" xfId="0" applyNumberFormat="1" applyFont="1" applyFill="1" applyAlignment="1">
      <alignment horizontal="right"/>
    </xf>
    <xf numFmtId="0" fontId="10" fillId="3" borderId="0" xfId="0" applyFont="1" applyFill="1" applyAlignment="1"/>
    <xf numFmtId="1" fontId="8" fillId="3" borderId="0" xfId="0" applyNumberFormat="1" applyFont="1" applyFill="1" applyAlignment="1">
      <alignment horizontal="right"/>
    </xf>
    <xf numFmtId="1" fontId="8" fillId="3" borderId="0" xfId="0" applyNumberFormat="1" applyFont="1" applyFill="1" applyAlignment="1"/>
    <xf numFmtId="1" fontId="6" fillId="3" borderId="0" xfId="0" applyNumberFormat="1" applyFont="1" applyFill="1" applyAlignment="1"/>
    <xf numFmtId="0" fontId="6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1" fontId="2" fillId="3" borderId="0" xfId="0" applyNumberFormat="1" applyFont="1" applyFill="1" applyAlignment="1"/>
    <xf numFmtId="165" fontId="2" fillId="3" borderId="0" xfId="0" applyNumberFormat="1" applyFont="1" applyFill="1" applyAlignment="1"/>
    <xf numFmtId="0" fontId="11" fillId="0" borderId="0" xfId="0" applyFont="1" applyAlignment="1"/>
    <xf numFmtId="0" fontId="12" fillId="2" borderId="0" xfId="0" applyFont="1" applyFill="1" applyAlignment="1"/>
    <xf numFmtId="0" fontId="13" fillId="0" borderId="0" xfId="0" applyFont="1" applyAlignment="1"/>
    <xf numFmtId="0" fontId="12" fillId="3" borderId="0" xfId="0" applyFont="1" applyFill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0" fontId="2" fillId="4" borderId="0" xfId="0" applyFont="1" applyFill="1" applyBorder="1" applyAlignment="1"/>
    <xf numFmtId="0" fontId="2" fillId="4" borderId="5" xfId="0" applyFont="1" applyFill="1" applyBorder="1" applyAlignment="1"/>
    <xf numFmtId="0" fontId="2" fillId="4" borderId="6" xfId="0" applyFont="1" applyFill="1" applyBorder="1" applyAlignment="1"/>
    <xf numFmtId="0" fontId="2" fillId="4" borderId="7" xfId="0" applyFont="1" applyFill="1" applyBorder="1" applyAlignment="1"/>
    <xf numFmtId="0" fontId="2" fillId="4" borderId="8" xfId="0" applyFont="1" applyFill="1" applyBorder="1" applyAlignment="1"/>
    <xf numFmtId="0" fontId="2" fillId="5" borderId="1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12" fillId="5" borderId="4" xfId="0" applyFont="1" applyFill="1" applyBorder="1" applyAlignment="1"/>
    <xf numFmtId="0" fontId="2" fillId="5" borderId="0" xfId="0" applyFont="1" applyFill="1" applyBorder="1" applyAlignment="1"/>
    <xf numFmtId="0" fontId="2" fillId="5" borderId="5" xfId="0" applyFont="1" applyFill="1" applyBorder="1" applyAlignment="1"/>
    <xf numFmtId="0" fontId="2" fillId="5" borderId="4" xfId="0" applyFont="1" applyFill="1" applyBorder="1" applyAlignment="1"/>
    <xf numFmtId="0" fontId="2" fillId="5" borderId="6" xfId="0" applyFont="1" applyFill="1" applyBorder="1" applyAlignment="1"/>
    <xf numFmtId="0" fontId="2" fillId="5" borderId="7" xfId="0" applyFont="1" applyFill="1" applyBorder="1" applyAlignment="1"/>
    <xf numFmtId="0" fontId="2" fillId="5" borderId="8" xfId="0" applyFont="1" applyFill="1" applyBorder="1" applyAlignment="1"/>
    <xf numFmtId="0" fontId="14" fillId="3" borderId="0" xfId="0" applyFont="1" applyFill="1" applyAlignment="1"/>
    <xf numFmtId="0" fontId="8" fillId="4" borderId="0" xfId="0" applyFont="1" applyFill="1" applyAlignment="1"/>
    <xf numFmtId="0" fontId="8" fillId="4" borderId="0" xfId="0" applyFont="1" applyFill="1" applyAlignment="1">
      <alignment horizontal="right"/>
    </xf>
    <xf numFmtId="0" fontId="14" fillId="4" borderId="0" xfId="0" applyFont="1" applyFill="1" applyAlignment="1"/>
    <xf numFmtId="0" fontId="15" fillId="4" borderId="0" xfId="0" applyFont="1" applyFill="1" applyAlignment="1"/>
    <xf numFmtId="0" fontId="16" fillId="3" borderId="0" xfId="0" applyFont="1" applyFill="1" applyAlignment="1"/>
    <xf numFmtId="0" fontId="16" fillId="2" borderId="0" xfId="0" applyFont="1" applyFill="1" applyAlignment="1"/>
    <xf numFmtId="0" fontId="17" fillId="3" borderId="0" xfId="0" applyFont="1" applyFill="1" applyAlignment="1">
      <alignment horizontal="left" wrapText="1"/>
    </xf>
    <xf numFmtId="0" fontId="18" fillId="3" borderId="0" xfId="0" applyFont="1" applyFill="1"/>
    <xf numFmtId="0" fontId="13" fillId="3" borderId="0" xfId="0" applyFont="1" applyFill="1" applyAlignment="1"/>
    <xf numFmtId="0" fontId="17" fillId="3" borderId="0" xfId="0" applyFont="1" applyFill="1" applyAlignment="1">
      <alignment horizontal="left" wrapText="1"/>
    </xf>
    <xf numFmtId="0" fontId="20" fillId="3" borderId="0" xfId="0" applyFont="1" applyFill="1"/>
    <xf numFmtId="2" fontId="18" fillId="3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4876800" cy="34766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42857"/>
          <a:ext cx="4876800" cy="3476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35</xdr:row>
      <xdr:rowOff>123825</xdr:rowOff>
    </xdr:from>
    <xdr:ext cx="4876800" cy="33623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48985</xdr:rowOff>
    </xdr:from>
    <xdr:to>
      <xdr:col>3</xdr:col>
      <xdr:colOff>936172</xdr:colOff>
      <xdr:row>55</xdr:row>
      <xdr:rowOff>111578</xdr:rowOff>
    </xdr:to>
    <xdr:pic>
      <xdr:nvPicPr>
        <xdr:cNvPr id="3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687785"/>
          <a:ext cx="4392386" cy="3268436"/>
        </a:xfrm>
        <a:prstGeom prst="rect">
          <a:avLst/>
        </a:prstGeom>
        <a:noFill/>
      </xdr:spPr>
    </xdr:pic>
    <xdr:clientData/>
  </xdr:twoCellAnchor>
  <xdr:twoCellAnchor>
    <xdr:from>
      <xdr:col>2</xdr:col>
      <xdr:colOff>58942</xdr:colOff>
      <xdr:row>39</xdr:row>
      <xdr:rowOff>145853</xdr:rowOff>
    </xdr:from>
    <xdr:to>
      <xdr:col>2</xdr:col>
      <xdr:colOff>62593</xdr:colOff>
      <xdr:row>52</xdr:row>
      <xdr:rowOff>19049</xdr:rowOff>
    </xdr:to>
    <xdr:cxnSp macro="">
      <xdr:nvCxnSpPr>
        <xdr:cNvPr id="4" name="Connettore 1 3"/>
        <xdr:cNvCxnSpPr/>
      </xdr:nvCxnSpPr>
      <xdr:spPr>
        <a:xfrm rot="16200000" flipV="1">
          <a:off x="1814177" y="7425761"/>
          <a:ext cx="1925154" cy="365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556271</xdr:colOff>
      <xdr:row>39</xdr:row>
      <xdr:rowOff>138792</xdr:rowOff>
    </xdr:from>
    <xdr:to>
      <xdr:col>2</xdr:col>
      <xdr:colOff>166008</xdr:colOff>
      <xdr:row>39</xdr:row>
      <xdr:rowOff>141797</xdr:rowOff>
    </xdr:to>
    <xdr:cxnSp macro="">
      <xdr:nvCxnSpPr>
        <xdr:cNvPr id="5" name="Connettore 1 4"/>
        <xdr:cNvCxnSpPr/>
      </xdr:nvCxnSpPr>
      <xdr:spPr>
        <a:xfrm rot="10800000" flipV="1">
          <a:off x="556271" y="6457949"/>
          <a:ext cx="2325723" cy="30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48985</xdr:rowOff>
    </xdr:from>
    <xdr:to>
      <xdr:col>3</xdr:col>
      <xdr:colOff>936172</xdr:colOff>
      <xdr:row>56</xdr:row>
      <xdr:rowOff>111578</xdr:rowOff>
    </xdr:to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687785"/>
          <a:ext cx="4392386" cy="3268436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31727</xdr:colOff>
      <xdr:row>40</xdr:row>
      <xdr:rowOff>145853</xdr:rowOff>
    </xdr:from>
    <xdr:to>
      <xdr:col>1</xdr:col>
      <xdr:colOff>35378</xdr:colOff>
      <xdr:row>53</xdr:row>
      <xdr:rowOff>19049</xdr:rowOff>
    </xdr:to>
    <xdr:cxnSp macro="">
      <xdr:nvCxnSpPr>
        <xdr:cNvPr id="3" name="Connettore 1 2"/>
        <xdr:cNvCxnSpPr/>
      </xdr:nvCxnSpPr>
      <xdr:spPr>
        <a:xfrm rot="16200000" flipV="1">
          <a:off x="954205" y="7425761"/>
          <a:ext cx="1925154" cy="365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556273</xdr:colOff>
      <xdr:row>40</xdr:row>
      <xdr:rowOff>136071</xdr:rowOff>
    </xdr:from>
    <xdr:to>
      <xdr:col>1</xdr:col>
      <xdr:colOff>133351</xdr:colOff>
      <xdr:row>40</xdr:row>
      <xdr:rowOff>141796</xdr:rowOff>
    </xdr:to>
    <xdr:cxnSp macro="">
      <xdr:nvCxnSpPr>
        <xdr:cNvPr id="4" name="Connettore 1 3"/>
        <xdr:cNvCxnSpPr/>
      </xdr:nvCxnSpPr>
      <xdr:spPr>
        <a:xfrm rot="10800000" flipV="1">
          <a:off x="556273" y="6455228"/>
          <a:ext cx="1460307" cy="572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89807</xdr:colOff>
      <xdr:row>28</xdr:row>
      <xdr:rowOff>93374</xdr:rowOff>
    </xdr:from>
    <xdr:to>
      <xdr:col>3</xdr:col>
      <xdr:colOff>891667</xdr:colOff>
      <xdr:row>30</xdr:row>
      <xdr:rowOff>100692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5793" y="4600060"/>
          <a:ext cx="1542089" cy="350218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223159</xdr:colOff>
      <xdr:row>29</xdr:row>
      <xdr:rowOff>85723</xdr:rowOff>
    </xdr:from>
    <xdr:ext cx="2416628" cy="453119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2" y="4788352"/>
          <a:ext cx="2416628" cy="453119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</xdr:pic>
    <xdr:clientData fLocksWithSheet="0"/>
  </xdr:oneCellAnchor>
  <xdr:twoCellAnchor>
    <xdr:from>
      <xdr:col>0</xdr:col>
      <xdr:colOff>0</xdr:colOff>
      <xdr:row>54</xdr:row>
      <xdr:rowOff>136071</xdr:rowOff>
    </xdr:from>
    <xdr:to>
      <xdr:col>5</xdr:col>
      <xdr:colOff>183696</xdr:colOff>
      <xdr:row>74</xdr:row>
      <xdr:rowOff>122464</xdr:rowOff>
    </xdr:to>
    <xdr:grpSp>
      <xdr:nvGrpSpPr>
        <xdr:cNvPr id="16" name="Gruppo 15"/>
        <xdr:cNvGrpSpPr/>
      </xdr:nvGrpSpPr>
      <xdr:grpSpPr>
        <a:xfrm>
          <a:off x="0" y="9296400"/>
          <a:ext cx="5724525" cy="3905250"/>
          <a:chOff x="3907971" y="3401786"/>
          <a:chExt cx="5724525" cy="3905250"/>
        </a:xfrm>
      </xdr:grpSpPr>
      <xdr:pic>
        <xdr:nvPicPr>
          <xdr:cNvPr id="7" name="image4.png"/>
          <xdr:cNvPicPr preferRelativeResize="0"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3907971" y="3401786"/>
            <a:ext cx="5724525" cy="3905250"/>
          </a:xfrm>
          <a:prstGeom prst="rect">
            <a:avLst/>
          </a:prstGeom>
          <a:noFill/>
        </xdr:spPr>
      </xdr:pic>
      <xdr:cxnSp macro="">
        <xdr:nvCxnSpPr>
          <xdr:cNvPr id="9" name="Connettore 1 8"/>
          <xdr:cNvCxnSpPr/>
        </xdr:nvCxnSpPr>
        <xdr:spPr>
          <a:xfrm rot="16200000" flipV="1">
            <a:off x="4721678" y="5856514"/>
            <a:ext cx="1496787" cy="5443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nettore 1 11"/>
          <xdr:cNvCxnSpPr/>
        </xdr:nvCxnSpPr>
        <xdr:spPr>
          <a:xfrm rot="10800000" flipV="1">
            <a:off x="4640038" y="5113563"/>
            <a:ext cx="821870" cy="5442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146958</xdr:colOff>
      <xdr:row>38</xdr:row>
      <xdr:rowOff>46336</xdr:rowOff>
    </xdr:from>
    <xdr:to>
      <xdr:col>4</xdr:col>
      <xdr:colOff>762001</xdr:colOff>
      <xdr:row>52</xdr:row>
      <xdr:rowOff>92526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958" y="6142336"/>
          <a:ext cx="5263243" cy="27186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146539</xdr:colOff>
      <xdr:row>3</xdr:row>
      <xdr:rowOff>108856</xdr:rowOff>
    </xdr:from>
    <xdr:to>
      <xdr:col>7</xdr:col>
      <xdr:colOff>66387</xdr:colOff>
      <xdr:row>13</xdr:row>
      <xdr:rowOff>66571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7550" y="619648"/>
          <a:ext cx="2532419" cy="1548703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48986</xdr:rowOff>
    </xdr:from>
    <xdr:ext cx="5976257" cy="3924300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4929"/>
          <a:ext cx="5976257" cy="3924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54428</xdr:colOff>
      <xdr:row>22</xdr:row>
      <xdr:rowOff>43543</xdr:rowOff>
    </xdr:from>
    <xdr:ext cx="5987143" cy="4233181"/>
    <xdr:pic>
      <xdr:nvPicPr>
        <xdr:cNvPr id="3" name="image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428" y="4354286"/>
          <a:ext cx="5987143" cy="4233181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4876800" cy="34766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12" sqref="D12"/>
    </sheetView>
  </sheetViews>
  <sheetFormatPr defaultRowHeight="12.45"/>
  <cols>
    <col min="1" max="1" width="29.15234375" style="20" customWidth="1"/>
    <col min="2" max="2" width="12.765625" style="20" customWidth="1"/>
    <col min="3" max="3" width="10.23046875" style="20" customWidth="1"/>
    <col min="4" max="4" width="23.23046875" style="20" customWidth="1"/>
    <col min="5" max="16384" width="9.23046875" style="20"/>
  </cols>
  <sheetData>
    <row r="1" spans="1:3" ht="15.45">
      <c r="A1" s="1" t="s">
        <v>0</v>
      </c>
      <c r="B1" s="21"/>
      <c r="C1" s="21"/>
    </row>
    <row r="2" spans="1:3">
      <c r="A2" s="21" t="s">
        <v>1</v>
      </c>
      <c r="B2" s="21"/>
    </row>
    <row r="3" spans="1:3">
      <c r="A3" s="33"/>
      <c r="B3" s="33"/>
    </row>
    <row r="4" spans="1:3">
      <c r="A4" s="33" t="s">
        <v>2</v>
      </c>
      <c r="B4" s="33" t="s">
        <v>3</v>
      </c>
    </row>
    <row r="5" spans="1:3">
      <c r="A5" s="43" t="s">
        <v>4</v>
      </c>
      <c r="B5" s="44">
        <v>500</v>
      </c>
      <c r="C5" s="45" t="s">
        <v>5</v>
      </c>
    </row>
    <row r="6" spans="1:3">
      <c r="A6" s="46" t="s">
        <v>6</v>
      </c>
      <c r="B6" s="47">
        <v>2</v>
      </c>
      <c r="C6" s="48" t="s">
        <v>7</v>
      </c>
    </row>
    <row r="7" spans="1:3">
      <c r="A7" s="46" t="s">
        <v>8</v>
      </c>
      <c r="B7" s="47">
        <v>0.2</v>
      </c>
      <c r="C7" s="48" t="s">
        <v>9</v>
      </c>
    </row>
    <row r="8" spans="1:3">
      <c r="A8" s="46" t="s">
        <v>10</v>
      </c>
      <c r="B8" s="47">
        <v>2100</v>
      </c>
      <c r="C8" s="48" t="s">
        <v>11</v>
      </c>
    </row>
    <row r="9" spans="1:3">
      <c r="A9" s="46" t="s">
        <v>12</v>
      </c>
      <c r="B9" s="47">
        <v>100</v>
      </c>
      <c r="C9" s="48" t="s">
        <v>13</v>
      </c>
    </row>
    <row r="10" spans="1:3">
      <c r="A10" s="46" t="s">
        <v>14</v>
      </c>
      <c r="B10" s="47">
        <v>0.1</v>
      </c>
      <c r="C10" s="48" t="s">
        <v>9</v>
      </c>
    </row>
    <row r="11" spans="1:3">
      <c r="A11" s="46" t="s">
        <v>15</v>
      </c>
      <c r="B11" s="47">
        <v>4186</v>
      </c>
      <c r="C11" s="48" t="s">
        <v>11</v>
      </c>
    </row>
    <row r="12" spans="1:3">
      <c r="A12" s="49" t="s">
        <v>16</v>
      </c>
      <c r="B12" s="50">
        <v>20</v>
      </c>
      <c r="C12" s="51" t="s">
        <v>13</v>
      </c>
    </row>
    <row r="14" spans="1:3">
      <c r="A14" s="34" t="s">
        <v>17</v>
      </c>
    </row>
    <row r="15" spans="1:3">
      <c r="A15" s="3" t="s">
        <v>18</v>
      </c>
      <c r="B15" s="21">
        <f>B7*B8</f>
        <v>420</v>
      </c>
      <c r="C15" s="21" t="s">
        <v>19</v>
      </c>
    </row>
    <row r="16" spans="1:3">
      <c r="A16" s="3" t="s">
        <v>20</v>
      </c>
      <c r="B16" s="21">
        <f>B10*B11</f>
        <v>418.6</v>
      </c>
      <c r="C16" s="21" t="s">
        <v>19</v>
      </c>
    </row>
    <row r="17" spans="1:4">
      <c r="A17" s="40" t="s">
        <v>86</v>
      </c>
      <c r="B17" s="21">
        <f>B16</f>
        <v>418.6</v>
      </c>
      <c r="C17" s="21" t="s">
        <v>19</v>
      </c>
    </row>
    <row r="18" spans="1:4">
      <c r="A18" s="40" t="s">
        <v>87</v>
      </c>
      <c r="B18" s="21">
        <f>B15</f>
        <v>420</v>
      </c>
      <c r="C18" s="21" t="s">
        <v>19</v>
      </c>
    </row>
    <row r="19" spans="1:4">
      <c r="A19" s="21" t="s">
        <v>23</v>
      </c>
      <c r="B19" s="35">
        <f>B17/B18</f>
        <v>0.9966666666666667</v>
      </c>
      <c r="D19" s="21" t="s">
        <v>24</v>
      </c>
    </row>
    <row r="20" spans="1:4">
      <c r="A20" s="21"/>
      <c r="B20" s="36"/>
      <c r="D20" s="21"/>
    </row>
    <row r="21" spans="1:4" ht="12.9">
      <c r="A21" s="22" t="s">
        <v>25</v>
      </c>
      <c r="B21" s="36"/>
      <c r="D21" s="21"/>
    </row>
    <row r="22" spans="1:4">
      <c r="A22" s="21" t="s">
        <v>26</v>
      </c>
      <c r="B22" s="36">
        <f>B5*B6/B17</f>
        <v>2.3889154323936932</v>
      </c>
    </row>
    <row r="23" spans="1:4">
      <c r="A23" s="3"/>
      <c r="B23" s="36"/>
      <c r="D23" s="21"/>
    </row>
    <row r="24" spans="1:4">
      <c r="A24" s="3" t="s">
        <v>27</v>
      </c>
      <c r="B24" s="36"/>
      <c r="D24" s="21"/>
    </row>
    <row r="25" spans="1:4">
      <c r="A25" s="41" t="s">
        <v>82</v>
      </c>
      <c r="B25" s="36">
        <f>B22/(1+B22)</f>
        <v>0.70492034400112791</v>
      </c>
    </row>
    <row r="27" spans="1:4" ht="12.9">
      <c r="A27" s="22" t="s">
        <v>29</v>
      </c>
    </row>
    <row r="28" spans="1:4">
      <c r="A28" s="21" t="s">
        <v>30</v>
      </c>
      <c r="B28" s="21">
        <f>B17*(B9-B12)</f>
        <v>33488</v>
      </c>
      <c r="C28" s="21" t="s">
        <v>31</v>
      </c>
      <c r="D28" s="21" t="s">
        <v>32</v>
      </c>
    </row>
    <row r="29" spans="1:4">
      <c r="A29" s="21" t="s">
        <v>33</v>
      </c>
      <c r="B29" s="37">
        <f>B28*B25</f>
        <v>23606.372479909773</v>
      </c>
      <c r="C29" s="21" t="s">
        <v>31</v>
      </c>
      <c r="D29" s="21" t="s">
        <v>34</v>
      </c>
    </row>
    <row r="30" spans="1:4">
      <c r="A30" s="21" t="s">
        <v>35</v>
      </c>
      <c r="B30" s="38">
        <f>B12+B29/B16</f>
        <v>76.393627520090234</v>
      </c>
      <c r="C30" s="21" t="s">
        <v>13</v>
      </c>
      <c r="D30" s="32" t="s">
        <v>36</v>
      </c>
    </row>
    <row r="31" spans="1:4">
      <c r="A31" s="21" t="s">
        <v>37</v>
      </c>
      <c r="B31" s="38">
        <f>B9-B29/B15</f>
        <v>43.794351238310064</v>
      </c>
      <c r="C31" s="21" t="s">
        <v>13</v>
      </c>
      <c r="D31" s="32" t="s">
        <v>38</v>
      </c>
    </row>
    <row r="33" spans="1:1">
      <c r="A33" s="3" t="s">
        <v>39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503"/>
  <sheetViews>
    <sheetView showGridLines="0" zoomScaleNormal="100" workbookViewId="0">
      <selection activeCell="F4" sqref="F4"/>
    </sheetView>
  </sheetViews>
  <sheetFormatPr defaultColWidth="12.61328125" defaultRowHeight="15.75" customHeight="1"/>
  <cols>
    <col min="1" max="1" width="31.07421875" customWidth="1"/>
    <col min="2" max="2" width="13.61328125" customWidth="1"/>
    <col min="4" max="4" width="23.3828125" customWidth="1"/>
  </cols>
  <sheetData>
    <row r="1" spans="1:26" ht="15.45">
      <c r="A1" s="1" t="s">
        <v>40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>
      <c r="A2" s="3" t="s">
        <v>1</v>
      </c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.25" customHeight="1">
      <c r="A3" s="3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45">
      <c r="A4" s="6" t="s">
        <v>2</v>
      </c>
      <c r="B4" s="6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45">
      <c r="A5" s="52" t="s">
        <v>4</v>
      </c>
      <c r="B5" s="53">
        <v>500</v>
      </c>
      <c r="C5" s="5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45">
      <c r="A6" s="55" t="s">
        <v>81</v>
      </c>
      <c r="B6" s="56">
        <v>0.8</v>
      </c>
      <c r="C6" s="57" t="s">
        <v>42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45">
      <c r="A7" s="58" t="s">
        <v>43</v>
      </c>
      <c r="B7" s="56">
        <v>0.2</v>
      </c>
      <c r="C7" s="57" t="s">
        <v>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45">
      <c r="A8" s="58" t="s">
        <v>10</v>
      </c>
      <c r="B8" s="56">
        <v>2100</v>
      </c>
      <c r="C8" s="57" t="s">
        <v>11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45">
      <c r="A9" s="58" t="s">
        <v>12</v>
      </c>
      <c r="B9" s="56">
        <v>100</v>
      </c>
      <c r="C9" s="57" t="s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45">
      <c r="A10" s="58" t="s">
        <v>14</v>
      </c>
      <c r="B10" s="56">
        <v>0.1</v>
      </c>
      <c r="C10" s="57" t="s">
        <v>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45">
      <c r="A11" s="58" t="s">
        <v>15</v>
      </c>
      <c r="B11" s="56">
        <v>4186</v>
      </c>
      <c r="C11" s="57" t="s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45">
      <c r="A12" s="59" t="s">
        <v>16</v>
      </c>
      <c r="B12" s="60">
        <v>20</v>
      </c>
      <c r="C12" s="61" t="s">
        <v>13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45">
      <c r="A14" s="7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45">
      <c r="A15" s="3" t="s">
        <v>18</v>
      </c>
      <c r="B15" s="3">
        <f>B7*B8</f>
        <v>420</v>
      </c>
      <c r="C15" s="3" t="s">
        <v>19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45">
      <c r="A16" s="3" t="s">
        <v>20</v>
      </c>
      <c r="B16" s="3">
        <f>B10*B11</f>
        <v>418.6</v>
      </c>
      <c r="C16" s="3" t="s">
        <v>19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45">
      <c r="A17" s="40" t="s">
        <v>86</v>
      </c>
      <c r="B17" s="3">
        <f>B16</f>
        <v>418.6</v>
      </c>
      <c r="C17" s="3" t="s">
        <v>19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45">
      <c r="A18" s="40" t="s">
        <v>87</v>
      </c>
      <c r="B18" s="3">
        <f>B15</f>
        <v>420</v>
      </c>
      <c r="C18" s="3" t="s">
        <v>19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45">
      <c r="A19" s="3" t="s">
        <v>23</v>
      </c>
      <c r="B19" s="8">
        <f>B17/B18</f>
        <v>0.9966666666666667</v>
      </c>
      <c r="C19" s="5"/>
      <c r="D19" s="2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45">
      <c r="A20" s="3"/>
      <c r="B20" s="9"/>
      <c r="C20" s="5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9">
      <c r="A21" s="10" t="s">
        <v>44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45">
      <c r="A22" s="3" t="s">
        <v>27</v>
      </c>
      <c r="B22" s="3"/>
      <c r="C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15">
      <c r="A23" s="3" t="s">
        <v>28</v>
      </c>
      <c r="B23" s="11">
        <f>B6/(1-B6)</f>
        <v>4.0000000000000009</v>
      </c>
      <c r="C23" s="1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45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9">
      <c r="A25" s="10" t="s">
        <v>45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45">
      <c r="A26" s="3" t="s">
        <v>46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45">
      <c r="A27" s="3" t="s">
        <v>47</v>
      </c>
      <c r="B27" s="13">
        <f>B23*B17/B5</f>
        <v>3.3488000000000011</v>
      </c>
      <c r="C27" s="3" t="s">
        <v>7</v>
      </c>
      <c r="D27" s="3" t="s">
        <v>48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9">
      <c r="A29" s="4" t="s">
        <v>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45">
      <c r="A30" s="3" t="s">
        <v>30</v>
      </c>
      <c r="B30" s="3">
        <f>B17*(B9-B12)</f>
        <v>33488</v>
      </c>
      <c r="C30" s="3" t="s">
        <v>31</v>
      </c>
      <c r="D30" s="3" t="s">
        <v>32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45">
      <c r="A31" s="3" t="s">
        <v>33</v>
      </c>
      <c r="B31" s="14">
        <f>B6*B30</f>
        <v>26790.400000000001</v>
      </c>
      <c r="C31" s="3" t="s">
        <v>31</v>
      </c>
      <c r="D31" s="3" t="s">
        <v>34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45">
      <c r="A32" s="3" t="s">
        <v>35</v>
      </c>
      <c r="B32" s="15">
        <f>B12+B31/B16</f>
        <v>84</v>
      </c>
      <c r="C32" s="3" t="s">
        <v>13</v>
      </c>
      <c r="D32" s="2" t="s">
        <v>36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45">
      <c r="A33" s="3" t="s">
        <v>37</v>
      </c>
      <c r="B33" s="15">
        <f>B9-B31/B15</f>
        <v>36.213333333333331</v>
      </c>
      <c r="C33" s="3" t="s">
        <v>13</v>
      </c>
      <c r="D33" s="2" t="s">
        <v>38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45">
      <c r="A35" s="3" t="s">
        <v>39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4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4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4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4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4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4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4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4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4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4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4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4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4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4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4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4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4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4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4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4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4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4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4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4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4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4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4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4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4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4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4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4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4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4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4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4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4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4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4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4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4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4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4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4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4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4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4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4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4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4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4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4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4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4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4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4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4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4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4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4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4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4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4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4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4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4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4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4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4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4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4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4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4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4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4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4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4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4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4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4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4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4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4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4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4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4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4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4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4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4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4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4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4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4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4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4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4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4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4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4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4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4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4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4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4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4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4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4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4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4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4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4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4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4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4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4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4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4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4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4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4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4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4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4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4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4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4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4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4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4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4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4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4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4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4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4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4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4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4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4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4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4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4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4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4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4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4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4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4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4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4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4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4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4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4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4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4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4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4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4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4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4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4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4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4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4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4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4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4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4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4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4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4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4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4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4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4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4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4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4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4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4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4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4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4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4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4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4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4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4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4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4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4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4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4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4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4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4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4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4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4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4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4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4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4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4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4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4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4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4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4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4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4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4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4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4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4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4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4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4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4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4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4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4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4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4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4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4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4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4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4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4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4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4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4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4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4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4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4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4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4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4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4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4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4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4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4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4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4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4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4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4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4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4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4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4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4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4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4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4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4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4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4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4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4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4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4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4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4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4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4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4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4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4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4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4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4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4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4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4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4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4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4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4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4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4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4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4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4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4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4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4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4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4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4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4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4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4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4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4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4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4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4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4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4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4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4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4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4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4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4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4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4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4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4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4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4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4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4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4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4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4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777"/>
  <sheetViews>
    <sheetView showGridLines="0" zoomScaleNormal="100" workbookViewId="0">
      <selection activeCell="F30" sqref="F30"/>
    </sheetView>
  </sheetViews>
  <sheetFormatPr defaultColWidth="12.61328125" defaultRowHeight="15.75" customHeight="1"/>
  <cols>
    <col min="1" max="1" width="29.07421875" customWidth="1"/>
    <col min="2" max="2" width="11.765625" customWidth="1"/>
    <col min="3" max="3" width="10.4609375" customWidth="1"/>
    <col min="4" max="4" width="23.3828125" customWidth="1"/>
  </cols>
  <sheetData>
    <row r="1" spans="1:26" ht="15.45">
      <c r="A1" s="68" t="s">
        <v>94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>
      <c r="A2" s="3" t="s">
        <v>1</v>
      </c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.25" customHeight="1">
      <c r="A3" s="3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45">
      <c r="A4" s="6" t="s">
        <v>2</v>
      </c>
      <c r="B4" s="6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45">
      <c r="A5" s="52" t="s">
        <v>4</v>
      </c>
      <c r="B5" s="53">
        <v>500</v>
      </c>
      <c r="C5" s="5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45">
      <c r="A6" s="58" t="s">
        <v>43</v>
      </c>
      <c r="B6" s="56">
        <v>0.2</v>
      </c>
      <c r="C6" s="57" t="s">
        <v>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45">
      <c r="A7" s="58" t="s">
        <v>10</v>
      </c>
      <c r="B7" s="56">
        <v>2100</v>
      </c>
      <c r="C7" s="57" t="s">
        <v>11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45">
      <c r="A8" s="58" t="s">
        <v>12</v>
      </c>
      <c r="B8" s="56">
        <v>100</v>
      </c>
      <c r="C8" s="57" t="s">
        <v>13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45">
      <c r="A9" s="58" t="s">
        <v>37</v>
      </c>
      <c r="B9" s="56">
        <v>40</v>
      </c>
      <c r="C9" s="57" t="s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45">
      <c r="A10" s="58" t="s">
        <v>14</v>
      </c>
      <c r="B10" s="56">
        <v>0.1</v>
      </c>
      <c r="C10" s="57" t="s">
        <v>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45">
      <c r="A11" s="58" t="s">
        <v>15</v>
      </c>
      <c r="B11" s="56">
        <v>4186</v>
      </c>
      <c r="C11" s="57" t="s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45">
      <c r="A12" s="59" t="s">
        <v>16</v>
      </c>
      <c r="B12" s="60">
        <v>20</v>
      </c>
      <c r="C12" s="61" t="s">
        <v>13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45">
      <c r="A14" s="6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45">
      <c r="A15" s="3" t="s">
        <v>18</v>
      </c>
      <c r="B15" s="3">
        <f>B6*B7</f>
        <v>420</v>
      </c>
      <c r="C15" s="3" t="s">
        <v>19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45">
      <c r="A16" s="3" t="s">
        <v>20</v>
      </c>
      <c r="B16" s="3">
        <f>B10*B11</f>
        <v>418.6</v>
      </c>
      <c r="C16" s="3" t="s">
        <v>19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45">
      <c r="A17" s="40" t="s">
        <v>86</v>
      </c>
      <c r="B17" s="3">
        <f>B16</f>
        <v>418.6</v>
      </c>
      <c r="C17" s="3" t="s">
        <v>19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45">
      <c r="A18" s="40" t="s">
        <v>87</v>
      </c>
      <c r="B18" s="3">
        <f>B15</f>
        <v>420</v>
      </c>
      <c r="C18" s="3" t="s">
        <v>19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45">
      <c r="A19" s="3" t="s">
        <v>23</v>
      </c>
      <c r="B19" s="8">
        <f>B17/B18</f>
        <v>0.9966666666666667</v>
      </c>
      <c r="C19" s="5"/>
      <c r="D19" s="2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45">
      <c r="A20" s="3"/>
      <c r="B20" s="9"/>
      <c r="C20" s="5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45">
      <c r="A21" s="3" t="s">
        <v>30</v>
      </c>
      <c r="B21" s="3">
        <f>B17*(B8-B12)</f>
        <v>33488</v>
      </c>
      <c r="C21" s="3" t="s">
        <v>31</v>
      </c>
      <c r="D21" s="3" t="s">
        <v>32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45">
      <c r="A22" s="2" t="s">
        <v>49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45">
      <c r="A23" s="2" t="s">
        <v>50</v>
      </c>
      <c r="B23" s="16">
        <f>B6*B7*(B8-B9)</f>
        <v>25200</v>
      </c>
      <c r="C23" s="2" t="s">
        <v>31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45">
      <c r="A24" s="2" t="s">
        <v>51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45">
      <c r="A25" s="2" t="s">
        <v>52</v>
      </c>
      <c r="B25" s="17">
        <f>B23/B21</f>
        <v>0.75250836120401343</v>
      </c>
      <c r="C25" s="18">
        <f>B25</f>
        <v>0.75250836120401343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45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9">
      <c r="A27" s="10" t="s">
        <v>44</v>
      </c>
      <c r="B27" s="5"/>
      <c r="C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45">
      <c r="A28" s="3" t="s">
        <v>27</v>
      </c>
      <c r="B28" s="3"/>
      <c r="C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15">
      <c r="A29" s="12" t="s">
        <v>28</v>
      </c>
      <c r="B29" s="11">
        <f>B25 /(1-B25)</f>
        <v>3.0405405405405412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45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9">
      <c r="A31" s="10" t="s">
        <v>45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45">
      <c r="A32" s="3" t="s">
        <v>47</v>
      </c>
      <c r="B32" s="13">
        <f>B29*B17/B5</f>
        <v>2.5455405405405411</v>
      </c>
      <c r="C32" s="3" t="s">
        <v>7</v>
      </c>
      <c r="D32" s="3" t="s">
        <v>48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45">
      <c r="A34" s="3" t="s">
        <v>35</v>
      </c>
      <c r="B34" s="15">
        <f>B12+B23/B16</f>
        <v>80.200668896321076</v>
      </c>
      <c r="C34" s="3" t="s">
        <v>13</v>
      </c>
      <c r="D34" s="2" t="s">
        <v>36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45"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45">
      <c r="A36" s="3"/>
      <c r="B36" s="14"/>
      <c r="C36" s="3"/>
      <c r="D36" s="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45">
      <c r="A38" s="3"/>
      <c r="B38" s="15"/>
      <c r="C38" s="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45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45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45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4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4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4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4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4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4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4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4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4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4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4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4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4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4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4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4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4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4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4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4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4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4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4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4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4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4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4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4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4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4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4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4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4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4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4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4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4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4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4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4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4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4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4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4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4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4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4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4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4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4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4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4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4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4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4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4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4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4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4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4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4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4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4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4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4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4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4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4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4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4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4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4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4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4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4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4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4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4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4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4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4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4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4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4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4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4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4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4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4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4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4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4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4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4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4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4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4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4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4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4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4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4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4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4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4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4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4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4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4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4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4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4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4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4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4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4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4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4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4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4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4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4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4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4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4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4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4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4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4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4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4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4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4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4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4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4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4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4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4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4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4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4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4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4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4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4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4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4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4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4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4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4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4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4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4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4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4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4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4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4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4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4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4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4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4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4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4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4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4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4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4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4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4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4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4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4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4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4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4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4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4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4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4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4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4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4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4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4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4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4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4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4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4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4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4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4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4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4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4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4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4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4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4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4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4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4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4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4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4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4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4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4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4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4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4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4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4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4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4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4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4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4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4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4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4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4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4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4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4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4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4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4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4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4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4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4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4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4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4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4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4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4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4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4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4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4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4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4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4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4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4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4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4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4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4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4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4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4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4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4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4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4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4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4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4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4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4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4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4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4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4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4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4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4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4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4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4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4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4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4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4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4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4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4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4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4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4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4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4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4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4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4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4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4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4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4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4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4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4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4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4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4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4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4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4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4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4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4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4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4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4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4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4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4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4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4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4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4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4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4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4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4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4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4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4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4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4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4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4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4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4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4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4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4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4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4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4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4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4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4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4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4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4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4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4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4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4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4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4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4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4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4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4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4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4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4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4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4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4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4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4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4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4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4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4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4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4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4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4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4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4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4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4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4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4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4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4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4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4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4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4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4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4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4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4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4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4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4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4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4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4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4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4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4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4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4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4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4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4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4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4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4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4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4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4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4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4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4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4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4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4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4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4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4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4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4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4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4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4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4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4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4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4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4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4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4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4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4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4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4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4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4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4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4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4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4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4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4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4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4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4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4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4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4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4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4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4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4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4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4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4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4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4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4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4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4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4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4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4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4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4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4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4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4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4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4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4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4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4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4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4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4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4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4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4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4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4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4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4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4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4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4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4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4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4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4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4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4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4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4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4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4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4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4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4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4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4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4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4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4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4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4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4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4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4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4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4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4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4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4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4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4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4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4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4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4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4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4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4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4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4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4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4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4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4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4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4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4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4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4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4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4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4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4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4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4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4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4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4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4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4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4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4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4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4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4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4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4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4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4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4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4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4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4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4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4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4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4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4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4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4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4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4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4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4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4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4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4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4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4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4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4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4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4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4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4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4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4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4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4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4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4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4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4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4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4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4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4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4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4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4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4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4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4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</sheetData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699"/>
  <sheetViews>
    <sheetView showGridLines="0" zoomScaleNormal="100" workbookViewId="0">
      <selection activeCell="H16" sqref="H16"/>
    </sheetView>
  </sheetViews>
  <sheetFormatPr defaultColWidth="12.61328125" defaultRowHeight="15.75" customHeight="1"/>
  <cols>
    <col min="1" max="1" width="30.3828125" customWidth="1"/>
    <col min="2" max="2" width="11.765625" customWidth="1"/>
    <col min="3" max="3" width="10.4609375" customWidth="1"/>
    <col min="4" max="4" width="23.3828125" customWidth="1"/>
  </cols>
  <sheetData>
    <row r="1" spans="1:26" ht="15.45">
      <c r="A1" s="68" t="s">
        <v>93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0.25" customHeight="1">
      <c r="A2" s="3" t="s">
        <v>1</v>
      </c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8.25" customHeight="1">
      <c r="A3" s="3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45">
      <c r="A4" s="6" t="s">
        <v>2</v>
      </c>
      <c r="B4" s="6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45">
      <c r="A5" s="52" t="s">
        <v>4</v>
      </c>
      <c r="B5" s="53">
        <v>500</v>
      </c>
      <c r="C5" s="54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45">
      <c r="A6" s="58" t="s">
        <v>43</v>
      </c>
      <c r="B6" s="56">
        <v>0.2</v>
      </c>
      <c r="C6" s="57" t="s">
        <v>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45">
      <c r="A7" s="58" t="s">
        <v>10</v>
      </c>
      <c r="B7" s="56">
        <v>2100</v>
      </c>
      <c r="C7" s="57" t="s">
        <v>11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45">
      <c r="A8" s="58" t="s">
        <v>12</v>
      </c>
      <c r="B8" s="56">
        <v>100</v>
      </c>
      <c r="C8" s="57" t="s">
        <v>13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45">
      <c r="A9" s="58" t="s">
        <v>37</v>
      </c>
      <c r="B9" s="56">
        <v>40</v>
      </c>
      <c r="C9" s="57" t="s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45">
      <c r="A10" s="58" t="s">
        <v>14</v>
      </c>
      <c r="B10" s="56">
        <v>0.2</v>
      </c>
      <c r="C10" s="57" t="s">
        <v>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45">
      <c r="A11" s="58" t="s">
        <v>15</v>
      </c>
      <c r="B11" s="56">
        <v>4186</v>
      </c>
      <c r="C11" s="57" t="s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45">
      <c r="A12" s="59" t="s">
        <v>16</v>
      </c>
      <c r="B12" s="60">
        <v>20</v>
      </c>
      <c r="C12" s="61" t="s">
        <v>13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45">
      <c r="A14" s="6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45">
      <c r="A15" s="3" t="s">
        <v>18</v>
      </c>
      <c r="B15" s="3">
        <f>B6*B7</f>
        <v>420</v>
      </c>
      <c r="C15" s="3" t="s">
        <v>19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45">
      <c r="A16" s="3" t="s">
        <v>20</v>
      </c>
      <c r="B16" s="3">
        <f>B10*B11</f>
        <v>837.2</v>
      </c>
      <c r="C16" s="3" t="s">
        <v>19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45">
      <c r="A17" s="40" t="s">
        <v>84</v>
      </c>
      <c r="B17" s="3">
        <f>B15</f>
        <v>420</v>
      </c>
      <c r="C17" s="3" t="s">
        <v>19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45">
      <c r="A18" s="40" t="s">
        <v>85</v>
      </c>
      <c r="B18" s="3">
        <f>B16</f>
        <v>837.2</v>
      </c>
      <c r="C18" s="3" t="s">
        <v>19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45">
      <c r="A19" s="3" t="s">
        <v>23</v>
      </c>
      <c r="B19" s="8">
        <f>B17/B18</f>
        <v>0.50167224080267558</v>
      </c>
      <c r="C19" s="5"/>
      <c r="D19" s="2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45">
      <c r="A20" s="3"/>
      <c r="B20" s="9"/>
      <c r="C20" s="5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45">
      <c r="A21" s="3" t="s">
        <v>30</v>
      </c>
      <c r="B21" s="3">
        <f>B17*(B8-B12)</f>
        <v>33600</v>
      </c>
      <c r="C21" s="3" t="s">
        <v>31</v>
      </c>
      <c r="D21" s="3" t="s">
        <v>32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45">
      <c r="A22" s="2" t="s">
        <v>49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45">
      <c r="A23" s="2" t="s">
        <v>50</v>
      </c>
      <c r="B23" s="16">
        <f>B6*B7*(B8-B9)</f>
        <v>25200</v>
      </c>
      <c r="C23" s="2" t="s">
        <v>31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45">
      <c r="A24" s="2" t="s">
        <v>51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45">
      <c r="A25" s="2" t="s">
        <v>52</v>
      </c>
      <c r="B25" s="17">
        <f>B23/B21</f>
        <v>0.75</v>
      </c>
      <c r="C25" s="18">
        <f>B25</f>
        <v>0.75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45"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9">
      <c r="A27" s="10" t="s">
        <v>44</v>
      </c>
      <c r="B27" s="5"/>
      <c r="C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45">
      <c r="A28" s="3" t="s">
        <v>79</v>
      </c>
      <c r="B28" s="3"/>
      <c r="C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15">
      <c r="A29" s="12" t="s">
        <v>78</v>
      </c>
      <c r="B29" s="11">
        <f>(1/(B19-1))*LN((B25-1)/(B25*B19-1))</f>
        <v>1.8347001746114717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9">
      <c r="A30" s="39" t="s">
        <v>80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45"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9">
      <c r="A32" s="10" t="s">
        <v>45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45">
      <c r="A33" s="3" t="s">
        <v>47</v>
      </c>
      <c r="B33" s="13">
        <f>B29*B17/B5</f>
        <v>1.5411481466736363</v>
      </c>
      <c r="C33" s="3" t="s">
        <v>7</v>
      </c>
      <c r="D33" s="3" t="s">
        <v>48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45">
      <c r="A35" s="3" t="s">
        <v>35</v>
      </c>
      <c r="B35" s="15">
        <f>B12+B23/B16</f>
        <v>50.100334448160538</v>
      </c>
      <c r="C35" s="3" t="s">
        <v>13</v>
      </c>
      <c r="D35" s="2" t="s">
        <v>36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45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45">
      <c r="A37" s="3"/>
      <c r="B37" s="14"/>
      <c r="C37" s="3"/>
      <c r="D37" s="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45">
      <c r="A39" s="3"/>
      <c r="B39" s="15"/>
      <c r="C39" s="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45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45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4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4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4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4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4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4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4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4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4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4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4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4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4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4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4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4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4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4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4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4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4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4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4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4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4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4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4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4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4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4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4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4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4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4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4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4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4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4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4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4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4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4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4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4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4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4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4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4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4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4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4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4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4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4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4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4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4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4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4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4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4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4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4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4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4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4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4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4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4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4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4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4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4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4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4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4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4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4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4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4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4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4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4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4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4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4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4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4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4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4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4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4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4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4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4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4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4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4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4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4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4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4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4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4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4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4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4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4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4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4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4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4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4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4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4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4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4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4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4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4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4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4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4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4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4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4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4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4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4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4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4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4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4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4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4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4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4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4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4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4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4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4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4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4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4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4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4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4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4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4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4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4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4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4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4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4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4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4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4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4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4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4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4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4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4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4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4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4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4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4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4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4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4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4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4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4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4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4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4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4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4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4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4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4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4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4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4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4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4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4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4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4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4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4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4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4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4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4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4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4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4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4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4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4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4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4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4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4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4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4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4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4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4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4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4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4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4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4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4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4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4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4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4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4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4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4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4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4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4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4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4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4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4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4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4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4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4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4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4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4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4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4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4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4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4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4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4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4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4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4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4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4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4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4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4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4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4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4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4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4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4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4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4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4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4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4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4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4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4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4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4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4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4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4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4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4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4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4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4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4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4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4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4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4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4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4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4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4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4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4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4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4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4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4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4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4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4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4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4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4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4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4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4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4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4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4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4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4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4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4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4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4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4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4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4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4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4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4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4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4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4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4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4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4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4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4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4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4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4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4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4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4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4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4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4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4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4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4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4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4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4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4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4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4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4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4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4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4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4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4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4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4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4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4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4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4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4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4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4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4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4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4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4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4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4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4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4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4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4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4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4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4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4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4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4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4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4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4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4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4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4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4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4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4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4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4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4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4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4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4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4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4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4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4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4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4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4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4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4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4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4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4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4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4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4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4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4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4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4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4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4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4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4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4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4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4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4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4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4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4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4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4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4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4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4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4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4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4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4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4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4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4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4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4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4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4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4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4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4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4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4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4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4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4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4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4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4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4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4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4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4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4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4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4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4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4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4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4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4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4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4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4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4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4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4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4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4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4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4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4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4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4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4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4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4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4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4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4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4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4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4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4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4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4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4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4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4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4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4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4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4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4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4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4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4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4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4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4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4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4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4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4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4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4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4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4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4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4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4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4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4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4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4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4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4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4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4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4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</sheetData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41"/>
  <sheetViews>
    <sheetView topLeftCell="A2" zoomScaleNormal="100" workbookViewId="0">
      <selection activeCell="F55" sqref="F54:F55"/>
    </sheetView>
  </sheetViews>
  <sheetFormatPr defaultColWidth="12.61328125" defaultRowHeight="15.75" customHeight="1"/>
  <cols>
    <col min="1" max="1" width="27.84375" style="20" customWidth="1"/>
    <col min="2" max="16384" width="12.61328125" style="20"/>
  </cols>
  <sheetData>
    <row r="1" spans="1:4" ht="15.45">
      <c r="A1" s="67" t="s">
        <v>92</v>
      </c>
    </row>
    <row r="2" spans="1:4" ht="10.3" customHeight="1">
      <c r="A2" s="19"/>
    </row>
    <row r="3" spans="1:4" ht="12.45">
      <c r="A3" s="21" t="s">
        <v>53</v>
      </c>
    </row>
    <row r="4" spans="1:4" ht="12.45">
      <c r="A4" s="21" t="s">
        <v>54</v>
      </c>
    </row>
    <row r="5" spans="1:4" ht="12.9">
      <c r="A5" s="22" t="s">
        <v>55</v>
      </c>
    </row>
    <row r="6" spans="1:4" ht="14.25" customHeight="1">
      <c r="A6" s="22" t="s">
        <v>56</v>
      </c>
    </row>
    <row r="7" spans="1:4" ht="14.25" customHeight="1"/>
    <row r="8" spans="1:4" ht="12.45">
      <c r="A8" s="66" t="s">
        <v>57</v>
      </c>
      <c r="B8" s="63"/>
      <c r="C8" s="63"/>
    </row>
    <row r="9" spans="1:4" ht="12.45">
      <c r="A9" s="63" t="s">
        <v>58</v>
      </c>
      <c r="B9" s="64">
        <v>50</v>
      </c>
      <c r="C9" s="63" t="s">
        <v>9</v>
      </c>
    </row>
    <row r="10" spans="1:4" ht="12.45">
      <c r="A10" s="65" t="s">
        <v>88</v>
      </c>
      <c r="B10" s="64">
        <v>1100</v>
      </c>
      <c r="C10" s="63" t="s">
        <v>11</v>
      </c>
      <c r="D10" s="21"/>
    </row>
    <row r="11" spans="1:4" ht="12.45">
      <c r="A11" s="63" t="s">
        <v>59</v>
      </c>
      <c r="B11" s="64">
        <v>550</v>
      </c>
      <c r="C11" s="63" t="s">
        <v>13</v>
      </c>
    </row>
    <row r="12" spans="1:4" ht="12.45">
      <c r="A12" s="63"/>
      <c r="B12" s="63"/>
      <c r="C12" s="63"/>
    </row>
    <row r="13" spans="1:4" ht="12.45">
      <c r="A13" s="66" t="s">
        <v>60</v>
      </c>
      <c r="B13" s="63"/>
      <c r="C13" s="63"/>
    </row>
    <row r="14" spans="1:4" ht="12.45">
      <c r="A14" s="63" t="s">
        <v>61</v>
      </c>
      <c r="B14" s="64">
        <v>10</v>
      </c>
      <c r="C14" s="63" t="s">
        <v>9</v>
      </c>
    </row>
    <row r="15" spans="1:4" ht="12.45">
      <c r="A15" s="65" t="s">
        <v>89</v>
      </c>
      <c r="B15" s="64">
        <v>4186</v>
      </c>
      <c r="C15" s="63" t="s">
        <v>11</v>
      </c>
    </row>
    <row r="16" spans="1:4" ht="12.45">
      <c r="A16" s="63" t="s">
        <v>62</v>
      </c>
      <c r="B16" s="64">
        <v>60</v>
      </c>
      <c r="C16" s="63" t="s">
        <v>13</v>
      </c>
    </row>
    <row r="17" spans="1:3" ht="12.45">
      <c r="A17" s="63"/>
      <c r="B17" s="63"/>
      <c r="C17" s="63"/>
    </row>
    <row r="18" spans="1:3" ht="12.45">
      <c r="A18" s="66" t="s">
        <v>63</v>
      </c>
      <c r="B18" s="63"/>
      <c r="C18" s="63"/>
    </row>
    <row r="19" spans="1:3" ht="12.45">
      <c r="A19" s="63" t="s">
        <v>64</v>
      </c>
      <c r="B19" s="64">
        <v>80</v>
      </c>
      <c r="C19" s="63" t="s">
        <v>5</v>
      </c>
    </row>
    <row r="20" spans="1:3" ht="12.45">
      <c r="A20" s="63" t="s">
        <v>6</v>
      </c>
      <c r="B20" s="64">
        <v>450</v>
      </c>
      <c r="C20" s="63" t="s">
        <v>7</v>
      </c>
    </row>
    <row r="21" spans="1:3" ht="12.45">
      <c r="A21" s="23"/>
      <c r="B21" s="23"/>
      <c r="C21" s="23"/>
    </row>
    <row r="22" spans="1:3" ht="12.45">
      <c r="A22" s="25" t="s">
        <v>17</v>
      </c>
      <c r="B22" s="23"/>
      <c r="C22" s="23"/>
    </row>
    <row r="23" spans="1:3" ht="12.45">
      <c r="A23" s="23" t="s">
        <v>65</v>
      </c>
      <c r="B23" s="24">
        <f>B9*B10</f>
        <v>55000</v>
      </c>
      <c r="C23" s="23" t="s">
        <v>19</v>
      </c>
    </row>
    <row r="24" spans="1:3" ht="12.45">
      <c r="A24" s="23" t="s">
        <v>66</v>
      </c>
      <c r="B24" s="24">
        <f>B14*B15</f>
        <v>41860</v>
      </c>
      <c r="C24" s="23" t="s">
        <v>19</v>
      </c>
    </row>
    <row r="25" spans="1:3" ht="12.45">
      <c r="A25" s="23" t="s">
        <v>67</v>
      </c>
      <c r="B25" s="24">
        <f>B24</f>
        <v>41860</v>
      </c>
      <c r="C25" s="23" t="s">
        <v>19</v>
      </c>
    </row>
    <row r="26" spans="1:3" ht="12.45">
      <c r="A26" s="23" t="s">
        <v>68</v>
      </c>
      <c r="B26" s="24">
        <f>B23</f>
        <v>55000</v>
      </c>
      <c r="C26" s="23" t="s">
        <v>19</v>
      </c>
    </row>
    <row r="27" spans="1:3" ht="12.45">
      <c r="A27" s="23" t="s">
        <v>69</v>
      </c>
      <c r="B27" s="26">
        <f>B25/B26</f>
        <v>0.76109090909090904</v>
      </c>
      <c r="C27" s="23"/>
    </row>
    <row r="28" spans="1:3" ht="12.45">
      <c r="A28" s="23" t="s">
        <v>70</v>
      </c>
      <c r="B28" s="26">
        <f>B19*B20/B25</f>
        <v>0.86000955566172954</v>
      </c>
      <c r="C28" s="23"/>
    </row>
    <row r="29" spans="1:3" ht="12.45">
      <c r="A29" s="62" t="s">
        <v>90</v>
      </c>
      <c r="B29" s="27"/>
      <c r="C29" s="23"/>
    </row>
    <row r="30" spans="1:3" ht="12.45">
      <c r="A30" s="23" t="s">
        <v>41</v>
      </c>
      <c r="B30" s="26">
        <f>(1-EXP(-B28*(1-B27)))/(1-B27*EXP(-B28*(1-B27)))</f>
        <v>0.48842172834873138</v>
      </c>
      <c r="C30" s="23"/>
    </row>
    <row r="31" spans="1:3" ht="12.45">
      <c r="A31" s="23" t="s">
        <v>71</v>
      </c>
      <c r="B31" s="23">
        <v>0.49</v>
      </c>
      <c r="C31" s="23"/>
    </row>
    <row r="32" spans="1:3" ht="12.45">
      <c r="A32" s="23"/>
      <c r="B32" s="23"/>
      <c r="C32" s="23"/>
    </row>
    <row r="33" spans="1:3" ht="15.75" customHeight="1">
      <c r="A33" s="28" t="s">
        <v>72</v>
      </c>
      <c r="B33" s="23"/>
      <c r="C33" s="23"/>
    </row>
    <row r="34" spans="1:3" ht="12.45">
      <c r="A34" s="62" t="s">
        <v>91</v>
      </c>
      <c r="B34" s="24">
        <f>B25*(B11-B16)</f>
        <v>20511400</v>
      </c>
      <c r="C34" s="23" t="s">
        <v>31</v>
      </c>
    </row>
    <row r="35" spans="1:3" ht="12.45">
      <c r="A35" s="23" t="s">
        <v>73</v>
      </c>
      <c r="B35" s="29">
        <f>B30*B34</f>
        <v>10018213.438852169</v>
      </c>
      <c r="C35" s="23" t="s">
        <v>31</v>
      </c>
    </row>
    <row r="36" spans="1:3" ht="12.45">
      <c r="A36" s="23" t="s">
        <v>74</v>
      </c>
      <c r="B36" s="30">
        <f>B16+B35/B24</f>
        <v>299.32664689087835</v>
      </c>
      <c r="C36" s="23" t="s">
        <v>13</v>
      </c>
    </row>
    <row r="37" spans="1:3" ht="12.45">
      <c r="A37" s="23" t="s">
        <v>75</v>
      </c>
      <c r="B37" s="30">
        <f>B11-B35/B23</f>
        <v>367.85066474814238</v>
      </c>
      <c r="C37" s="23" t="s">
        <v>13</v>
      </c>
    </row>
    <row r="38" spans="1:3" ht="12.45"/>
    <row r="40" spans="1:3" ht="12.9">
      <c r="A40" s="22" t="s">
        <v>76</v>
      </c>
      <c r="B40" s="31">
        <f>B35/10^6</f>
        <v>10.018213438852168</v>
      </c>
      <c r="C40" s="42" t="s">
        <v>83</v>
      </c>
    </row>
    <row r="41" spans="1:3" ht="12.45">
      <c r="B41" s="32"/>
    </row>
  </sheetData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9"/>
  <sheetViews>
    <sheetView tabSelected="1" zoomScale="130" zoomScaleNormal="130" workbookViewId="0">
      <selection activeCell="I9" sqref="I9"/>
    </sheetView>
  </sheetViews>
  <sheetFormatPr defaultRowHeight="12.45"/>
  <cols>
    <col min="1" max="1" width="23.921875" style="71" customWidth="1"/>
    <col min="2" max="2" width="9" style="71" customWidth="1"/>
    <col min="3" max="16384" width="9.23046875" style="71"/>
  </cols>
  <sheetData>
    <row r="1" spans="1:8" ht="17.600000000000001" customHeight="1">
      <c r="A1" s="69" t="s">
        <v>141</v>
      </c>
      <c r="B1" s="69"/>
      <c r="C1" s="69"/>
      <c r="D1" s="69"/>
      <c r="E1" s="69"/>
      <c r="F1" s="69"/>
      <c r="G1" s="70"/>
      <c r="H1" s="70"/>
    </row>
    <row r="2" spans="1:8" ht="10.3" customHeight="1">
      <c r="A2" s="72"/>
      <c r="B2" s="72"/>
      <c r="C2" s="72"/>
      <c r="D2" s="72"/>
      <c r="E2" s="72"/>
      <c r="F2" s="72"/>
      <c r="G2" s="70"/>
      <c r="H2" s="70"/>
    </row>
    <row r="3" spans="1:8">
      <c r="A3" s="70" t="s">
        <v>135</v>
      </c>
      <c r="B3" s="70"/>
      <c r="C3" s="70"/>
      <c r="D3" s="70"/>
      <c r="E3" s="70"/>
      <c r="F3" s="70"/>
      <c r="G3" s="70"/>
      <c r="H3" s="70"/>
    </row>
    <row r="4" spans="1:8">
      <c r="A4" s="70"/>
      <c r="B4" s="70"/>
      <c r="C4" s="70"/>
      <c r="D4" s="70"/>
      <c r="E4" s="70"/>
      <c r="F4" s="70"/>
      <c r="G4" s="70"/>
      <c r="H4" s="70"/>
    </row>
    <row r="5" spans="1:8">
      <c r="A5" s="70" t="s">
        <v>136</v>
      </c>
      <c r="B5" s="70"/>
      <c r="C5" s="70"/>
      <c r="D5" s="70"/>
      <c r="E5" s="70"/>
      <c r="F5" s="70"/>
      <c r="G5" s="70"/>
      <c r="H5" s="70"/>
    </row>
    <row r="6" spans="1:8">
      <c r="A6" s="70" t="s">
        <v>95</v>
      </c>
      <c r="B6" s="70">
        <v>1.5</v>
      </c>
      <c r="C6" s="70" t="s">
        <v>9</v>
      </c>
      <c r="D6" s="70"/>
      <c r="E6" s="70"/>
      <c r="F6" s="70"/>
      <c r="G6" s="70"/>
      <c r="H6" s="70"/>
    </row>
    <row r="7" spans="1:8">
      <c r="A7" s="70" t="s">
        <v>96</v>
      </c>
      <c r="B7" s="70">
        <v>0.08</v>
      </c>
      <c r="C7" s="70" t="s">
        <v>97</v>
      </c>
      <c r="D7" s="70"/>
      <c r="E7" s="70"/>
      <c r="F7" s="70"/>
      <c r="G7" s="70"/>
      <c r="H7" s="70"/>
    </row>
    <row r="8" spans="1:8">
      <c r="A8" s="70" t="s">
        <v>98</v>
      </c>
      <c r="B8" s="70">
        <v>80</v>
      </c>
      <c r="C8" s="70" t="s">
        <v>9</v>
      </c>
      <c r="D8" s="70"/>
      <c r="E8" s="70"/>
      <c r="F8" s="70"/>
      <c r="G8" s="70"/>
      <c r="H8" s="70"/>
    </row>
    <row r="9" spans="1:8">
      <c r="A9" s="70" t="s">
        <v>99</v>
      </c>
      <c r="B9" s="70">
        <v>290</v>
      </c>
      <c r="C9" s="70" t="s">
        <v>100</v>
      </c>
      <c r="D9" s="70"/>
      <c r="E9" s="70"/>
      <c r="F9" s="70"/>
      <c r="G9" s="70"/>
      <c r="H9" s="70"/>
    </row>
    <row r="10" spans="1:8">
      <c r="A10" s="70" t="s">
        <v>101</v>
      </c>
      <c r="B10" s="70">
        <v>25000</v>
      </c>
      <c r="C10" s="70" t="s">
        <v>102</v>
      </c>
      <c r="D10" s="70"/>
      <c r="E10" s="70"/>
      <c r="F10" s="70"/>
      <c r="G10" s="70"/>
      <c r="H10" s="70"/>
    </row>
    <row r="11" spans="1:8">
      <c r="A11" s="70" t="s">
        <v>103</v>
      </c>
      <c r="B11" s="70">
        <v>10</v>
      </c>
      <c r="C11" s="70" t="s">
        <v>104</v>
      </c>
      <c r="D11" s="70"/>
      <c r="E11" s="70"/>
      <c r="F11" s="70"/>
      <c r="G11" s="70"/>
      <c r="H11" s="70"/>
    </row>
    <row r="12" spans="1:8">
      <c r="A12" s="70" t="s">
        <v>105</v>
      </c>
      <c r="B12" s="70">
        <v>100</v>
      </c>
      <c r="C12" s="70"/>
      <c r="D12" s="70"/>
      <c r="E12" s="70"/>
      <c r="F12" s="70"/>
      <c r="G12" s="70"/>
      <c r="H12" s="70"/>
    </row>
    <row r="13" spans="1:8">
      <c r="A13" s="70" t="s">
        <v>106</v>
      </c>
      <c r="B13" s="70">
        <v>4186</v>
      </c>
      <c r="C13" s="70" t="s">
        <v>107</v>
      </c>
      <c r="D13" s="70"/>
      <c r="E13" s="70"/>
      <c r="F13" s="70"/>
      <c r="G13" s="70"/>
      <c r="H13" s="70"/>
    </row>
    <row r="14" spans="1:8">
      <c r="A14" s="70"/>
      <c r="B14" s="70"/>
      <c r="C14" s="70"/>
      <c r="D14" s="70"/>
      <c r="E14" s="70"/>
      <c r="F14" s="70"/>
      <c r="G14" s="70"/>
      <c r="H14" s="70"/>
    </row>
    <row r="15" spans="1:8">
      <c r="A15" s="70" t="s">
        <v>108</v>
      </c>
      <c r="B15" s="70"/>
      <c r="C15" s="70"/>
      <c r="D15" s="70"/>
      <c r="E15" s="70"/>
      <c r="F15" s="70"/>
      <c r="G15" s="70"/>
      <c r="H15" s="70"/>
    </row>
    <row r="16" spans="1:8">
      <c r="A16" s="70" t="s">
        <v>109</v>
      </c>
      <c r="B16" s="70">
        <v>314.7</v>
      </c>
      <c r="C16" s="70" t="s">
        <v>100</v>
      </c>
      <c r="D16" s="70"/>
      <c r="E16" s="70"/>
      <c r="F16" s="70"/>
      <c r="G16" s="70"/>
      <c r="H16" s="70"/>
    </row>
    <row r="17" spans="1:8">
      <c r="A17" s="70" t="s">
        <v>110</v>
      </c>
      <c r="B17" s="70">
        <v>2576907</v>
      </c>
      <c r="C17" s="70" t="s">
        <v>107</v>
      </c>
      <c r="D17" s="70"/>
      <c r="E17" s="70"/>
      <c r="F17" s="70"/>
      <c r="G17" s="70"/>
      <c r="H17" s="70"/>
    </row>
    <row r="18" spans="1:8">
      <c r="A18" s="70" t="s">
        <v>111</v>
      </c>
      <c r="B18" s="70">
        <v>173837</v>
      </c>
      <c r="C18" s="70" t="s">
        <v>107</v>
      </c>
      <c r="D18" s="70"/>
      <c r="E18" s="70"/>
      <c r="F18" s="70"/>
      <c r="G18" s="70"/>
      <c r="H18" s="70"/>
    </row>
    <row r="19" spans="1:8">
      <c r="A19" s="70"/>
      <c r="B19" s="70"/>
      <c r="C19" s="70"/>
      <c r="D19" s="70"/>
      <c r="E19" s="70"/>
      <c r="F19" s="70"/>
      <c r="G19" s="70"/>
      <c r="H19" s="70"/>
    </row>
    <row r="20" spans="1:8">
      <c r="A20" s="70" t="s">
        <v>112</v>
      </c>
      <c r="B20" s="70"/>
      <c r="C20" s="70"/>
      <c r="D20" s="70"/>
      <c r="E20" s="70"/>
      <c r="F20" s="70"/>
      <c r="G20" s="70"/>
      <c r="H20" s="70"/>
    </row>
    <row r="21" spans="1:8">
      <c r="A21" s="70" t="s">
        <v>132</v>
      </c>
      <c r="B21" s="70">
        <f>B6*(B17-B18)</f>
        <v>3604605</v>
      </c>
      <c r="C21" s="70" t="s">
        <v>31</v>
      </c>
      <c r="D21" s="70"/>
      <c r="E21" s="70"/>
      <c r="F21" s="70"/>
      <c r="G21" s="70"/>
      <c r="H21" s="70"/>
    </row>
    <row r="22" spans="1:8">
      <c r="A22" s="70" t="s">
        <v>113</v>
      </c>
      <c r="B22" s="70"/>
      <c r="C22" s="70"/>
      <c r="D22" s="70"/>
      <c r="E22" s="70"/>
      <c r="F22" s="70"/>
      <c r="G22" s="70"/>
      <c r="H22" s="70"/>
    </row>
    <row r="23" spans="1:8">
      <c r="A23" s="70" t="s">
        <v>137</v>
      </c>
      <c r="B23" s="70"/>
      <c r="C23" s="70"/>
      <c r="D23" s="70"/>
      <c r="E23" s="70"/>
      <c r="F23" s="70"/>
      <c r="G23" s="70"/>
      <c r="H23" s="70"/>
    </row>
    <row r="24" spans="1:8">
      <c r="A24" s="70" t="s">
        <v>114</v>
      </c>
      <c r="B24" s="70">
        <f>B9+B21/(B8*B13)</f>
        <v>300.76387064022936</v>
      </c>
      <c r="C24" s="70" t="s">
        <v>100</v>
      </c>
      <c r="D24" s="70"/>
      <c r="E24" s="70"/>
      <c r="F24" s="70"/>
      <c r="G24" s="70"/>
      <c r="H24" s="70"/>
    </row>
    <row r="25" spans="1:8">
      <c r="A25" s="70"/>
      <c r="B25" s="70"/>
      <c r="C25" s="70"/>
      <c r="D25" s="70"/>
      <c r="E25" s="70"/>
      <c r="F25" s="70"/>
      <c r="G25" s="70"/>
      <c r="H25" s="70"/>
    </row>
    <row r="26" spans="1:8">
      <c r="A26" s="70" t="s">
        <v>115</v>
      </c>
      <c r="B26" s="70"/>
      <c r="C26" s="70"/>
      <c r="D26" s="70"/>
      <c r="E26" s="70"/>
      <c r="F26" s="70"/>
      <c r="G26" s="70"/>
      <c r="H26" s="70"/>
    </row>
    <row r="27" spans="1:8">
      <c r="A27" s="70" t="s">
        <v>116</v>
      </c>
      <c r="B27" s="70"/>
      <c r="C27" s="70"/>
      <c r="D27" s="70"/>
      <c r="E27" s="70"/>
      <c r="F27" s="70"/>
      <c r="G27" s="70"/>
      <c r="H27" s="70"/>
    </row>
    <row r="28" spans="1:8">
      <c r="A28" s="70" t="s">
        <v>138</v>
      </c>
      <c r="B28" s="70"/>
      <c r="C28" s="70"/>
      <c r="D28" s="70"/>
      <c r="E28" s="70"/>
      <c r="F28" s="70"/>
      <c r="G28" s="70"/>
      <c r="H28" s="70"/>
    </row>
    <row r="29" spans="1:8">
      <c r="A29" s="70" t="s">
        <v>117</v>
      </c>
      <c r="B29" s="70">
        <f>B8*B13</f>
        <v>334880</v>
      </c>
      <c r="C29" s="70"/>
      <c r="D29" s="70"/>
      <c r="E29" s="70"/>
      <c r="F29" s="70"/>
      <c r="G29" s="70"/>
      <c r="H29" s="70"/>
    </row>
    <row r="30" spans="1:8">
      <c r="A30" s="70" t="s">
        <v>118</v>
      </c>
      <c r="B30" s="70">
        <v>0</v>
      </c>
      <c r="C30" s="70" t="s">
        <v>139</v>
      </c>
      <c r="D30" s="70"/>
      <c r="E30" s="70"/>
      <c r="F30" s="70"/>
      <c r="G30" s="70"/>
      <c r="H30" s="70"/>
    </row>
    <row r="31" spans="1:8">
      <c r="A31" s="70" t="s">
        <v>119</v>
      </c>
      <c r="B31" s="70"/>
      <c r="C31" s="70"/>
      <c r="D31" s="70"/>
      <c r="E31" s="70"/>
      <c r="F31" s="70"/>
      <c r="G31" s="70"/>
      <c r="H31" s="70"/>
    </row>
    <row r="32" spans="1:8">
      <c r="A32" s="73" t="s">
        <v>120</v>
      </c>
      <c r="B32" s="70"/>
      <c r="C32" s="70"/>
      <c r="D32" s="70"/>
      <c r="E32" s="70"/>
      <c r="F32" s="70"/>
      <c r="G32" s="70"/>
      <c r="H32" s="70"/>
    </row>
    <row r="33" spans="1:8">
      <c r="A33" s="73"/>
      <c r="B33" s="70"/>
      <c r="C33" s="70"/>
      <c r="D33" s="70"/>
      <c r="E33" s="70"/>
      <c r="F33" s="70"/>
      <c r="G33" s="70"/>
      <c r="H33" s="70"/>
    </row>
    <row r="34" spans="1:8">
      <c r="A34" s="70" t="s">
        <v>121</v>
      </c>
      <c r="B34" s="70"/>
      <c r="C34" s="70"/>
      <c r="D34" s="70"/>
      <c r="E34" s="70"/>
      <c r="F34" s="70"/>
      <c r="G34" s="70"/>
      <c r="H34" s="70"/>
    </row>
    <row r="35" spans="1:8">
      <c r="A35" s="70" t="s">
        <v>122</v>
      </c>
      <c r="B35" s="70">
        <f>B29*(B16-B9)</f>
        <v>8271535.9999999963</v>
      </c>
      <c r="C35" s="70" t="s">
        <v>31</v>
      </c>
      <c r="D35" s="70"/>
      <c r="E35" s="70"/>
      <c r="F35" s="70"/>
      <c r="G35" s="70"/>
      <c r="H35" s="70"/>
    </row>
    <row r="36" spans="1:8">
      <c r="A36" s="70" t="s">
        <v>123</v>
      </c>
      <c r="B36" s="70"/>
      <c r="C36" s="70"/>
      <c r="D36" s="70"/>
      <c r="E36" s="70"/>
      <c r="F36" s="70"/>
      <c r="G36" s="70"/>
      <c r="H36" s="70"/>
    </row>
    <row r="37" spans="1:8">
      <c r="A37" s="70" t="s">
        <v>133</v>
      </c>
      <c r="B37" s="74">
        <f>B21/B35</f>
        <v>0.43578423644653203</v>
      </c>
      <c r="C37" s="70"/>
      <c r="D37" s="70"/>
      <c r="E37" s="70"/>
      <c r="F37" s="70"/>
      <c r="G37" s="70"/>
      <c r="H37" s="70"/>
    </row>
    <row r="38" spans="1:8">
      <c r="A38" s="70"/>
      <c r="B38" s="74"/>
      <c r="C38" s="70"/>
      <c r="D38" s="70"/>
      <c r="E38" s="70"/>
      <c r="F38" s="70"/>
      <c r="G38" s="70"/>
      <c r="H38" s="70"/>
    </row>
    <row r="39" spans="1:8">
      <c r="A39" s="70" t="s">
        <v>124</v>
      </c>
      <c r="B39" s="70"/>
      <c r="C39" s="70"/>
      <c r="D39" s="70"/>
      <c r="E39" s="70"/>
      <c r="F39" s="70"/>
      <c r="G39" s="70"/>
      <c r="H39" s="70"/>
    </row>
    <row r="40" spans="1:8">
      <c r="A40" s="70" t="s">
        <v>134</v>
      </c>
      <c r="B40" s="70">
        <f>-LN(1-B37)</f>
        <v>0.57231854114933878</v>
      </c>
      <c r="C40" s="70"/>
      <c r="D40" s="70"/>
      <c r="E40" s="70"/>
      <c r="F40" s="70"/>
      <c r="G40" s="70"/>
      <c r="H40" s="70"/>
    </row>
    <row r="41" spans="1:8">
      <c r="A41" s="70"/>
      <c r="B41" s="70"/>
      <c r="C41" s="70"/>
      <c r="D41" s="70"/>
      <c r="E41" s="70"/>
      <c r="F41" s="70"/>
      <c r="G41" s="70"/>
      <c r="H41" s="70"/>
    </row>
    <row r="42" spans="1:8">
      <c r="A42" s="70" t="s">
        <v>140</v>
      </c>
      <c r="B42" s="70"/>
      <c r="C42" s="70"/>
      <c r="D42" s="70"/>
      <c r="E42" s="70"/>
      <c r="F42" s="70"/>
      <c r="G42" s="70"/>
      <c r="H42" s="70"/>
    </row>
    <row r="43" spans="1:8">
      <c r="A43" s="70" t="s">
        <v>125</v>
      </c>
      <c r="B43" s="70"/>
      <c r="C43" s="70"/>
      <c r="D43" s="70"/>
      <c r="E43" s="70"/>
      <c r="F43" s="70"/>
      <c r="G43" s="70"/>
      <c r="H43" s="70"/>
    </row>
    <row r="44" spans="1:8">
      <c r="A44" s="70" t="s">
        <v>126</v>
      </c>
      <c r="B44" s="74">
        <f>B40* B29/B10</f>
        <v>7.666321322403622</v>
      </c>
      <c r="C44" s="70" t="s">
        <v>7</v>
      </c>
      <c r="D44" s="70"/>
      <c r="E44" s="70"/>
      <c r="F44" s="70"/>
      <c r="G44" s="70"/>
      <c r="H44" s="70"/>
    </row>
    <row r="45" spans="1:8">
      <c r="A45" s="70"/>
      <c r="B45" s="74"/>
      <c r="C45" s="70"/>
      <c r="D45" s="70"/>
      <c r="E45" s="70"/>
      <c r="F45" s="70"/>
      <c r="G45" s="70"/>
      <c r="H45" s="70"/>
    </row>
    <row r="46" spans="1:8">
      <c r="A46" s="70" t="s">
        <v>127</v>
      </c>
      <c r="B46" s="70"/>
      <c r="C46" s="70"/>
      <c r="D46" s="70"/>
      <c r="E46" s="70"/>
      <c r="F46" s="70"/>
      <c r="G46" s="70"/>
      <c r="H46" s="70"/>
    </row>
    <row r="47" spans="1:8">
      <c r="A47" s="70" t="s">
        <v>128</v>
      </c>
      <c r="B47" s="70">
        <f>B44/100</f>
        <v>7.6663213224036214E-2</v>
      </c>
      <c r="C47" s="70"/>
      <c r="D47" s="70"/>
      <c r="E47" s="70"/>
      <c r="F47" s="70"/>
      <c r="G47" s="70"/>
      <c r="H47" s="70"/>
    </row>
    <row r="48" spans="1:8">
      <c r="A48" s="70" t="s">
        <v>129</v>
      </c>
      <c r="B48" s="70"/>
      <c r="C48" s="70"/>
      <c r="D48" s="70"/>
      <c r="E48" s="70"/>
      <c r="F48" s="70"/>
      <c r="G48" s="70"/>
      <c r="H48" s="70"/>
    </row>
    <row r="49" spans="1:8">
      <c r="A49" s="70" t="s">
        <v>130</v>
      </c>
      <c r="B49" s="74">
        <f>B47/(3.14*B11/1000)</f>
        <v>2.4415036058610258</v>
      </c>
      <c r="C49" s="70" t="s">
        <v>131</v>
      </c>
      <c r="D49" s="70"/>
      <c r="E49" s="70"/>
      <c r="F49" s="70"/>
      <c r="G49" s="70"/>
      <c r="H49" s="70"/>
    </row>
  </sheetData>
  <mergeCells count="1">
    <mergeCell ref="A1:F1"/>
  </mergeCells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>
      <selection activeCell="E52" sqref="E52"/>
    </sheetView>
  </sheetViews>
  <sheetFormatPr defaultColWidth="12.61328125" defaultRowHeight="15.75" customHeight="1"/>
  <cols>
    <col min="1" max="16384" width="12.61328125" style="20"/>
  </cols>
  <sheetData>
    <row r="1" spans="1:1" ht="15.75" customHeight="1">
      <c r="A1" s="19" t="s">
        <v>77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3"/>
  <sheetViews>
    <sheetView showGridLines="0" workbookViewId="0">
      <selection activeCell="E26" sqref="E26"/>
    </sheetView>
  </sheetViews>
  <sheetFormatPr defaultColWidth="12.61328125" defaultRowHeight="15.75" customHeight="1"/>
  <cols>
    <col min="1" max="1" width="30.61328125" style="20" customWidth="1"/>
    <col min="2" max="2" width="8.765625" style="20" customWidth="1"/>
    <col min="3" max="3" width="8.61328125" style="20" customWidth="1"/>
    <col min="4" max="4" width="17.3828125" style="20" customWidth="1"/>
    <col min="5" max="16384" width="12.61328125" style="20"/>
  </cols>
  <sheetData>
    <row r="1" spans="1:3" ht="15.45">
      <c r="A1" s="1" t="s">
        <v>0</v>
      </c>
      <c r="B1" s="21"/>
      <c r="C1" s="21"/>
    </row>
    <row r="2" spans="1:3" ht="18" customHeight="1">
      <c r="A2" s="21" t="s">
        <v>1</v>
      </c>
      <c r="B2" s="21"/>
    </row>
    <row r="3" spans="1:3" ht="12.45">
      <c r="A3" s="33"/>
      <c r="B3" s="33"/>
    </row>
    <row r="4" spans="1:3" ht="12.45">
      <c r="A4" s="33" t="s">
        <v>2</v>
      </c>
      <c r="B4" s="33" t="s">
        <v>3</v>
      </c>
    </row>
    <row r="5" spans="1:3" ht="12.45">
      <c r="A5" s="21" t="s">
        <v>4</v>
      </c>
      <c r="B5" s="21">
        <v>500</v>
      </c>
      <c r="C5" s="21" t="s">
        <v>5</v>
      </c>
    </row>
    <row r="6" spans="1:3" ht="12.45">
      <c r="A6" s="21" t="s">
        <v>6</v>
      </c>
      <c r="B6" s="21">
        <v>2</v>
      </c>
      <c r="C6" s="21" t="s">
        <v>7</v>
      </c>
    </row>
    <row r="7" spans="1:3" ht="12.45">
      <c r="A7" s="21" t="s">
        <v>8</v>
      </c>
      <c r="B7" s="21">
        <v>0.2</v>
      </c>
      <c r="C7" s="21" t="s">
        <v>9</v>
      </c>
    </row>
    <row r="8" spans="1:3" ht="12.45">
      <c r="A8" s="21" t="s">
        <v>10</v>
      </c>
      <c r="B8" s="21">
        <v>2100</v>
      </c>
      <c r="C8" s="21" t="s">
        <v>11</v>
      </c>
    </row>
    <row r="9" spans="1:3" ht="12.45">
      <c r="A9" s="21" t="s">
        <v>12</v>
      </c>
      <c r="B9" s="21">
        <v>100</v>
      </c>
      <c r="C9" s="21" t="s">
        <v>13</v>
      </c>
    </row>
    <row r="10" spans="1:3" ht="12.45">
      <c r="A10" s="21" t="s">
        <v>14</v>
      </c>
      <c r="B10" s="21">
        <v>0.1</v>
      </c>
      <c r="C10" s="21" t="s">
        <v>9</v>
      </c>
    </row>
    <row r="11" spans="1:3" ht="12.45">
      <c r="A11" s="21" t="s">
        <v>15</v>
      </c>
      <c r="B11" s="21">
        <v>4186</v>
      </c>
      <c r="C11" s="21" t="s">
        <v>11</v>
      </c>
    </row>
    <row r="12" spans="1:3" ht="12.45">
      <c r="A12" s="21" t="s">
        <v>16</v>
      </c>
      <c r="B12" s="21">
        <v>20</v>
      </c>
      <c r="C12" s="21" t="s">
        <v>13</v>
      </c>
    </row>
    <row r="14" spans="1:3" ht="12.45">
      <c r="A14" s="34" t="s">
        <v>17</v>
      </c>
    </row>
    <row r="15" spans="1:3" ht="12.45">
      <c r="A15" s="3" t="s">
        <v>18</v>
      </c>
      <c r="B15" s="21">
        <f>B7*B8</f>
        <v>420</v>
      </c>
      <c r="C15" s="21" t="s">
        <v>19</v>
      </c>
    </row>
    <row r="16" spans="1:3" ht="12.45">
      <c r="A16" s="3" t="s">
        <v>20</v>
      </c>
      <c r="B16" s="21">
        <f>B10*B11</f>
        <v>418.6</v>
      </c>
      <c r="C16" s="21" t="s">
        <v>19</v>
      </c>
    </row>
    <row r="17" spans="1:4" ht="12.45">
      <c r="A17" s="21" t="s">
        <v>21</v>
      </c>
      <c r="B17" s="21">
        <f>B16</f>
        <v>418.6</v>
      </c>
      <c r="C17" s="21" t="s">
        <v>19</v>
      </c>
    </row>
    <row r="18" spans="1:4" ht="12.45">
      <c r="A18" s="21" t="s">
        <v>22</v>
      </c>
      <c r="B18" s="21">
        <f>B15</f>
        <v>420</v>
      </c>
      <c r="C18" s="21" t="s">
        <v>19</v>
      </c>
    </row>
    <row r="19" spans="1:4" ht="12.45">
      <c r="A19" s="21" t="s">
        <v>23</v>
      </c>
      <c r="B19" s="35">
        <f>B17/B18</f>
        <v>0.9966666666666667</v>
      </c>
      <c r="D19" s="21" t="s">
        <v>24</v>
      </c>
    </row>
    <row r="20" spans="1:4" ht="12.45">
      <c r="A20" s="21"/>
      <c r="B20" s="36"/>
      <c r="D20" s="21"/>
    </row>
    <row r="21" spans="1:4" ht="12.9">
      <c r="A21" s="22" t="s">
        <v>25</v>
      </c>
      <c r="B21" s="36"/>
      <c r="D21" s="21"/>
    </row>
    <row r="22" spans="1:4" ht="12.45">
      <c r="A22" s="21" t="s">
        <v>26</v>
      </c>
      <c r="B22" s="36">
        <f>B5*B6/B17</f>
        <v>2.3889154323936932</v>
      </c>
    </row>
    <row r="23" spans="1:4" ht="12.45">
      <c r="A23" s="3"/>
      <c r="B23" s="36"/>
      <c r="D23" s="21"/>
    </row>
    <row r="24" spans="1:4" ht="12.45">
      <c r="A24" s="3" t="s">
        <v>27</v>
      </c>
      <c r="B24" s="36"/>
      <c r="D24" s="21"/>
    </row>
    <row r="25" spans="1:4" ht="12.45">
      <c r="A25" s="3" t="s">
        <v>28</v>
      </c>
      <c r="B25" s="36">
        <f>B22/(1+B22)</f>
        <v>0.70492034400112791</v>
      </c>
    </row>
    <row r="27" spans="1:4" ht="12.9">
      <c r="A27" s="22" t="s">
        <v>29</v>
      </c>
    </row>
    <row r="28" spans="1:4" ht="12.45">
      <c r="A28" s="21" t="s">
        <v>30</v>
      </c>
      <c r="B28" s="21">
        <f>B17*(B9-B12)</f>
        <v>33488</v>
      </c>
      <c r="C28" s="21" t="s">
        <v>31</v>
      </c>
      <c r="D28" s="21" t="s">
        <v>32</v>
      </c>
    </row>
    <row r="29" spans="1:4" ht="12.45">
      <c r="A29" s="21" t="s">
        <v>33</v>
      </c>
      <c r="B29" s="37">
        <f>B28*B25</f>
        <v>23606.372479909773</v>
      </c>
      <c r="C29" s="21" t="s">
        <v>31</v>
      </c>
      <c r="D29" s="21" t="s">
        <v>34</v>
      </c>
    </row>
    <row r="30" spans="1:4" ht="12.45">
      <c r="A30" s="21" t="s">
        <v>35</v>
      </c>
      <c r="B30" s="38">
        <f>B12+B29/B16</f>
        <v>76.393627520090234</v>
      </c>
      <c r="C30" s="21" t="s">
        <v>13</v>
      </c>
      <c r="D30" s="32" t="s">
        <v>36</v>
      </c>
    </row>
    <row r="31" spans="1:4" ht="12.45">
      <c r="A31" s="21" t="s">
        <v>37</v>
      </c>
      <c r="B31" s="38">
        <f>B9-B29/B15</f>
        <v>43.794351238310064</v>
      </c>
      <c r="C31" s="21" t="s">
        <v>13</v>
      </c>
      <c r="D31" s="32" t="s">
        <v>38</v>
      </c>
    </row>
    <row r="33" spans="1:1" ht="12.45">
      <c r="A33" s="3" t="s">
        <v>39</v>
      </c>
    </row>
  </sheetData>
  <printOptions horizontalCentered="1" gridLines="1"/>
  <pageMargins left="0.25" right="0.25" top="0.75" bottom="0.75" header="0.3" footer="0.3"/>
  <pageSetup paperSize="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1 Metodo e-NTU</vt:lpstr>
      <vt:lpstr>2 Metodo e-NTU</vt:lpstr>
      <vt:lpstr>3 Metodo e-NTU</vt:lpstr>
      <vt:lpstr>4 Metodo e-NTU</vt:lpstr>
      <vt:lpstr>5 Metodo e-NTU</vt:lpstr>
      <vt:lpstr>6 Metodo e-NTU</vt:lpstr>
      <vt:lpstr>Formule e NTU</vt:lpstr>
      <vt:lpstr>1b Metodo e-NTU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R5800u</cp:lastModifiedBy>
  <cp:lastPrinted>2026-04-15T05:27:43Z</cp:lastPrinted>
  <dcterms:modified xsi:type="dcterms:W3CDTF">2026-04-15T05:27:49Z</dcterms:modified>
</cp:coreProperties>
</file>